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7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calcPr calcId="145621"/>
</workbook>
</file>

<file path=xl/calcChain.xml><?xml version="1.0" encoding="utf-8"?>
<calcChain xmlns="http://schemas.openxmlformats.org/spreadsheetml/2006/main">
  <c r="Y24" i="2" l="1"/>
  <c r="Y25" i="2"/>
  <c r="Y26" i="2"/>
  <c r="Y27" i="2"/>
  <c r="Y28" i="2"/>
  <c r="Y23" i="2"/>
  <c r="V24" i="2"/>
  <c r="V25" i="2"/>
  <c r="V26" i="2"/>
  <c r="V27" i="2"/>
  <c r="V28" i="2"/>
  <c r="V23" i="2"/>
  <c r="U23" i="2"/>
  <c r="Y16" i="2"/>
  <c r="Y17" i="2"/>
  <c r="Y18" i="2"/>
  <c r="Y19" i="2"/>
  <c r="Y20" i="2"/>
  <c r="Y21" i="2"/>
  <c r="V17" i="2"/>
  <c r="W17" i="2" s="1"/>
  <c r="X17" i="2" s="1"/>
  <c r="V18" i="2"/>
  <c r="W18" i="2" s="1"/>
  <c r="X18" i="2" s="1"/>
  <c r="V19" i="2"/>
  <c r="W19" i="2" s="1"/>
  <c r="X19" i="2" s="1"/>
  <c r="V20" i="2"/>
  <c r="W20" i="2" s="1"/>
  <c r="X20" i="2" s="1"/>
  <c r="V21" i="2"/>
  <c r="W21" i="2" s="1"/>
  <c r="X21" i="2" s="1"/>
  <c r="V16" i="2"/>
  <c r="W16" i="2" s="1"/>
  <c r="X16" i="2" s="1"/>
  <c r="U16" i="2"/>
  <c r="P24" i="2"/>
  <c r="P25" i="2"/>
  <c r="P26" i="2"/>
  <c r="P27" i="2"/>
  <c r="P28" i="2"/>
  <c r="P23" i="2"/>
  <c r="M25" i="2"/>
  <c r="M24" i="2"/>
  <c r="M26" i="2"/>
  <c r="M27" i="2"/>
  <c r="M28" i="2"/>
  <c r="M23" i="2"/>
  <c r="L23" i="2"/>
  <c r="P17" i="2"/>
  <c r="P18" i="2"/>
  <c r="P19" i="2"/>
  <c r="P20" i="2"/>
  <c r="P21" i="2"/>
  <c r="P16" i="2"/>
  <c r="N17" i="2"/>
  <c r="M17" i="2"/>
  <c r="M18" i="2"/>
  <c r="N18" i="2" s="1"/>
  <c r="O18" i="2" s="1"/>
  <c r="M19" i="2"/>
  <c r="N19" i="2" s="1"/>
  <c r="O19" i="2" s="1"/>
  <c r="M20" i="2"/>
  <c r="N20" i="2" s="1"/>
  <c r="O20" i="2" s="1"/>
  <c r="M21" i="2"/>
  <c r="N21" i="2" s="1"/>
  <c r="M16" i="2"/>
  <c r="N16" i="2" s="1"/>
  <c r="O16" i="2" s="1"/>
  <c r="L16" i="2"/>
  <c r="G24" i="2"/>
  <c r="G25" i="2"/>
  <c r="G26" i="2"/>
  <c r="G27" i="2"/>
  <c r="G28" i="2"/>
  <c r="G23" i="2"/>
  <c r="G17" i="2"/>
  <c r="G18" i="2"/>
  <c r="G19" i="2"/>
  <c r="G20" i="2"/>
  <c r="G21" i="2"/>
  <c r="G16" i="2"/>
  <c r="F21" i="2"/>
  <c r="D25" i="2"/>
  <c r="D24" i="2"/>
  <c r="D26" i="2"/>
  <c r="D27" i="2"/>
  <c r="D28" i="2"/>
  <c r="D23" i="2"/>
  <c r="C23" i="2"/>
  <c r="E16" i="2"/>
  <c r="F16" i="2" s="1"/>
  <c r="D21" i="2"/>
  <c r="D17" i="2"/>
  <c r="E17" i="2" s="1"/>
  <c r="F17" i="2" s="1"/>
  <c r="D18" i="2"/>
  <c r="E18" i="2" s="1"/>
  <c r="F18" i="2" s="1"/>
  <c r="D19" i="2"/>
  <c r="E19" i="2" s="1"/>
  <c r="F19" i="2" s="1"/>
  <c r="D20" i="2"/>
  <c r="E20" i="2" s="1"/>
  <c r="F20" i="2" s="1"/>
  <c r="E21" i="2"/>
  <c r="D16" i="2"/>
  <c r="C16" i="2"/>
  <c r="I25" i="1"/>
  <c r="I26" i="1"/>
  <c r="I27" i="1"/>
  <c r="I28" i="1"/>
  <c r="I29" i="1"/>
  <c r="H25" i="1"/>
  <c r="H26" i="1"/>
  <c r="H27" i="1"/>
  <c r="H28" i="1"/>
  <c r="H29" i="1"/>
  <c r="I24" i="1"/>
  <c r="I18" i="1"/>
  <c r="I19" i="1"/>
  <c r="I20" i="1"/>
  <c r="I21" i="1"/>
  <c r="I22" i="1"/>
  <c r="I17" i="1"/>
  <c r="H17" i="1"/>
  <c r="H24" i="1"/>
  <c r="H22" i="1"/>
  <c r="H21" i="1"/>
  <c r="H20" i="1"/>
  <c r="H19" i="1"/>
  <c r="H18" i="1"/>
  <c r="G18" i="1"/>
  <c r="G19" i="1"/>
  <c r="G20" i="1"/>
  <c r="G21" i="1"/>
  <c r="G22" i="1"/>
  <c r="G24" i="1"/>
  <c r="G25" i="1"/>
  <c r="G26" i="1"/>
  <c r="G27" i="1"/>
  <c r="G28" i="1"/>
  <c r="G29" i="1"/>
  <c r="O17" i="2"/>
  <c r="Y25" i="1"/>
  <c r="Y26" i="1"/>
  <c r="Y27" i="1"/>
  <c r="Y28" i="1"/>
  <c r="Y29" i="1"/>
  <c r="Y24" i="1"/>
  <c r="V25" i="1"/>
  <c r="W25" i="1"/>
  <c r="X25" i="1" s="1"/>
  <c r="V26" i="1"/>
  <c r="V27" i="1"/>
  <c r="V28" i="1"/>
  <c r="V29" i="1"/>
  <c r="V24" i="1"/>
  <c r="W24" i="1" s="1"/>
  <c r="X24" i="1" s="1"/>
  <c r="U24" i="1"/>
  <c r="W29" i="1"/>
  <c r="X29" i="1" s="1"/>
  <c r="W28" i="1"/>
  <c r="X28" i="1" s="1"/>
  <c r="W27" i="1"/>
  <c r="X27" i="1" s="1"/>
  <c r="W26" i="1"/>
  <c r="X26" i="1" s="1"/>
  <c r="P25" i="1"/>
  <c r="P26" i="1"/>
  <c r="P27" i="1"/>
  <c r="P28" i="1"/>
  <c r="P29" i="1"/>
  <c r="P24" i="1"/>
  <c r="M26" i="1"/>
  <c r="M25" i="1"/>
  <c r="M27" i="1"/>
  <c r="M28" i="1"/>
  <c r="M29" i="1"/>
  <c r="N29" i="1" s="1"/>
  <c r="O29" i="1" s="1"/>
  <c r="M24" i="1"/>
  <c r="N28" i="1"/>
  <c r="O28" i="1" s="1"/>
  <c r="N24" i="1"/>
  <c r="O24" i="1" s="1"/>
  <c r="L24" i="1"/>
  <c r="N27" i="1"/>
  <c r="O27" i="1" s="1"/>
  <c r="N26" i="1"/>
  <c r="O26" i="1" s="1"/>
  <c r="N25" i="1"/>
  <c r="O25" i="1" s="1"/>
  <c r="F25" i="1"/>
  <c r="F26" i="1"/>
  <c r="F27" i="1"/>
  <c r="F28" i="1"/>
  <c r="F29" i="1"/>
  <c r="F24" i="1"/>
  <c r="E25" i="1"/>
  <c r="E26" i="1"/>
  <c r="E27" i="1"/>
  <c r="E28" i="1"/>
  <c r="E29" i="1"/>
  <c r="E24" i="1"/>
  <c r="D25" i="1"/>
  <c r="D26" i="1"/>
  <c r="D27" i="1"/>
  <c r="D28" i="1"/>
  <c r="D29" i="1"/>
  <c r="D24" i="1"/>
  <c r="C24" i="1"/>
  <c r="Y18" i="1"/>
  <c r="Y19" i="1"/>
  <c r="Y20" i="1"/>
  <c r="Y21" i="1"/>
  <c r="Y22" i="1"/>
  <c r="Y17" i="1"/>
  <c r="X18" i="1"/>
  <c r="X19" i="1"/>
  <c r="X20" i="1"/>
  <c r="X21" i="1"/>
  <c r="X22" i="1"/>
  <c r="X17" i="1"/>
  <c r="W18" i="1"/>
  <c r="W19" i="1"/>
  <c r="W20" i="1"/>
  <c r="W21" i="1"/>
  <c r="W22" i="1"/>
  <c r="W17" i="1"/>
  <c r="V18" i="1"/>
  <c r="V19" i="1"/>
  <c r="V20" i="1"/>
  <c r="V21" i="1"/>
  <c r="V22" i="1"/>
  <c r="V17" i="1"/>
  <c r="U17" i="1"/>
  <c r="P18" i="1"/>
  <c r="P19" i="1"/>
  <c r="P20" i="1"/>
  <c r="P21" i="1"/>
  <c r="P22" i="1"/>
  <c r="P17" i="1"/>
  <c r="O18" i="1"/>
  <c r="O19" i="1"/>
  <c r="O20" i="1"/>
  <c r="O21" i="1"/>
  <c r="O22" i="1"/>
  <c r="O17" i="1"/>
  <c r="N18" i="1"/>
  <c r="N19" i="1"/>
  <c r="N20" i="1"/>
  <c r="N21" i="1"/>
  <c r="N22" i="1"/>
  <c r="N17" i="1"/>
  <c r="M18" i="1"/>
  <c r="M19" i="1"/>
  <c r="M20" i="1"/>
  <c r="M21" i="1"/>
  <c r="M22" i="1"/>
  <c r="M17" i="1"/>
  <c r="L17" i="1"/>
  <c r="G17" i="1"/>
  <c r="F18" i="1"/>
  <c r="F19" i="1"/>
  <c r="F20" i="1"/>
  <c r="F21" i="1"/>
  <c r="F22" i="1"/>
  <c r="F17" i="1"/>
  <c r="D18" i="1"/>
  <c r="E18" i="1" s="1"/>
  <c r="D19" i="1"/>
  <c r="E19" i="1" s="1"/>
  <c r="D20" i="1"/>
  <c r="E20" i="1" s="1"/>
  <c r="D21" i="1"/>
  <c r="E21" i="1" s="1"/>
  <c r="D22" i="1"/>
  <c r="E22" i="1" s="1"/>
  <c r="D17" i="1"/>
  <c r="E17" i="1" s="1"/>
  <c r="C17" i="1"/>
  <c r="O21" i="2" l="1"/>
  <c r="E23" i="2"/>
  <c r="F23" i="2" s="1"/>
  <c r="N24" i="2"/>
  <c r="O24" i="2" s="1"/>
  <c r="W25" i="2"/>
  <c r="X25" i="2" s="1"/>
  <c r="E27" i="2"/>
  <c r="F27" i="2" s="1"/>
  <c r="N28" i="2"/>
  <c r="O28" i="2" s="1"/>
  <c r="N23" i="2"/>
  <c r="O23" i="2" s="1"/>
  <c r="W24" i="2"/>
  <c r="X24" i="2" s="1"/>
  <c r="E26" i="2"/>
  <c r="F26" i="2" s="1"/>
  <c r="N27" i="2"/>
  <c r="O27" i="2" s="1"/>
  <c r="W28" i="2"/>
  <c r="X28" i="2" s="1"/>
  <c r="E25" i="2"/>
  <c r="F25" i="2" s="1"/>
  <c r="W27" i="2"/>
  <c r="X27" i="2" s="1"/>
  <c r="W23" i="2"/>
  <c r="X23" i="2" s="1"/>
  <c r="N26" i="2"/>
  <c r="O26" i="2" s="1"/>
  <c r="E24" i="2"/>
  <c r="F24" i="2" s="1"/>
  <c r="N25" i="2"/>
  <c r="O25" i="2" s="1"/>
  <c r="W26" i="2"/>
  <c r="X26" i="2" s="1"/>
  <c r="E28" i="2"/>
  <c r="F28" i="2" s="1"/>
</calcChain>
</file>

<file path=xl/sharedStrings.xml><?xml version="1.0" encoding="utf-8"?>
<sst xmlns="http://schemas.openxmlformats.org/spreadsheetml/2006/main" count="94" uniqueCount="21">
  <si>
    <t>حجمm3</t>
  </si>
  <si>
    <t>t  s</t>
  </si>
  <si>
    <t>1,7</t>
  </si>
  <si>
    <t>2,7</t>
  </si>
  <si>
    <t>3,7</t>
  </si>
  <si>
    <t>4,7</t>
  </si>
  <si>
    <t>5,7</t>
  </si>
  <si>
    <t>6,7</t>
  </si>
  <si>
    <t>همگرا</t>
  </si>
  <si>
    <t>مرحله اول</t>
  </si>
  <si>
    <t>A  m2</t>
  </si>
  <si>
    <t>Q m3/s</t>
  </si>
  <si>
    <r>
      <rPr>
        <b/>
        <sz val="8"/>
        <color theme="1"/>
        <rFont val="B Nazanin"/>
        <charset val="178"/>
      </rPr>
      <t>سرعت از دبي</t>
    </r>
    <r>
      <rPr>
        <sz val="10"/>
        <color theme="1"/>
        <rFont val="Arial"/>
        <family val="2"/>
      </rPr>
      <t xml:space="preserve"> </t>
    </r>
  </si>
  <si>
    <t>سرعت از برنولي</t>
  </si>
  <si>
    <t xml:space="preserve">U2/2g </t>
  </si>
  <si>
    <t xml:space="preserve">H </t>
  </si>
  <si>
    <t>مرحله دوم</t>
  </si>
  <si>
    <t>مرحله سوم</t>
  </si>
  <si>
    <t>dQ</t>
  </si>
  <si>
    <t>d</t>
  </si>
  <si>
    <t>واگرا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</si>
</sst>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B Nazanin"/>
      <charset val="178"/>
    </font>
    <font>
      <sz val="10"/>
      <color theme="1"/>
      <name val="Arial"/>
      <family val="2"/>
    </font>
    <font>
      <b/>
      <sz val="8"/>
      <color theme="1"/>
      <name val="B Nazanin"/>
      <charset val="17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readingOrder="2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errBars>
            <c:errDir val="y"/>
            <c:errBarType val="both"/>
            <c:errValType val="percentage"/>
            <c:noEndCap val="0"/>
            <c:val val="0.25"/>
          </c:errBars>
          <c:xVal>
            <c:numRef>
              <c:f>Sheet3!$A$1:$A$6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Sheet3!$B$1:$B$6</c:f>
              <c:numCache>
                <c:formatCode>General</c:formatCode>
                <c:ptCount val="6"/>
                <c:pt idx="0">
                  <c:v>0.20499999999999999</c:v>
                </c:pt>
                <c:pt idx="1">
                  <c:v>0.20499999999999999</c:v>
                </c:pt>
                <c:pt idx="2">
                  <c:v>0.20499999999999999</c:v>
                </c:pt>
                <c:pt idx="3">
                  <c:v>0.20499999999999999</c:v>
                </c:pt>
                <c:pt idx="4">
                  <c:v>0.20499999999999999</c:v>
                </c:pt>
                <c:pt idx="5">
                  <c:v>0.20499999999999999</c:v>
                </c:pt>
              </c:numCache>
            </c:numRef>
          </c:yVal>
          <c:smooth val="1"/>
        </c:ser>
        <c:ser>
          <c:idx val="1"/>
          <c:order val="1"/>
          <c:errBars>
            <c:errDir val="y"/>
            <c:errBarType val="both"/>
            <c:errValType val="percentage"/>
            <c:noEndCap val="0"/>
            <c:val val="0.25"/>
          </c:errBars>
          <c:xVal>
            <c:numRef>
              <c:f>Sheet3!$A$1:$A$6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Sheet3!$C$1:$C$6</c:f>
              <c:numCache>
                <c:formatCode>General</c:formatCode>
                <c:ptCount val="6"/>
                <c:pt idx="0">
                  <c:v>0.20391235950079617</c:v>
                </c:pt>
                <c:pt idx="1">
                  <c:v>0.20363489523682099</c:v>
                </c:pt>
                <c:pt idx="2">
                  <c:v>0.20464465246509794</c:v>
                </c:pt>
                <c:pt idx="3">
                  <c:v>0.20374544244387632</c:v>
                </c:pt>
                <c:pt idx="4">
                  <c:v>0.20605393553630175</c:v>
                </c:pt>
                <c:pt idx="5">
                  <c:v>0.20282981207591749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593728"/>
        <c:axId val="39972224"/>
      </c:scatterChart>
      <c:valAx>
        <c:axId val="43593728"/>
        <c:scaling>
          <c:orientation val="minMax"/>
        </c:scaling>
        <c:delete val="0"/>
        <c:axPos val="b"/>
        <c:title>
          <c:layout/>
          <c:overlay val="0"/>
        </c:title>
        <c:numFmt formatCode="General" sourceLinked="1"/>
        <c:majorTickMark val="out"/>
        <c:minorTickMark val="none"/>
        <c:tickLblPos val="nextTo"/>
        <c:crossAx val="39972224"/>
        <c:crosses val="autoZero"/>
        <c:crossBetween val="midCat"/>
      </c:valAx>
      <c:valAx>
        <c:axId val="39972224"/>
        <c:scaling>
          <c:orientation val="minMax"/>
        </c:scaling>
        <c:delete val="0"/>
        <c:axPos val="l"/>
        <c:majorGridlines/>
        <c:title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435937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errBars>
            <c:errDir val="y"/>
            <c:errBarType val="both"/>
            <c:errValType val="percentage"/>
            <c:noEndCap val="0"/>
            <c:val val="1"/>
          </c:errBars>
          <c:xVal>
            <c:numRef>
              <c:f>Sheet4!$A$1:$A$6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Sheet4!$B$1:$B$6</c:f>
              <c:numCache>
                <c:formatCode>General</c:formatCode>
                <c:ptCount val="6"/>
                <c:pt idx="0">
                  <c:v>0.245</c:v>
                </c:pt>
                <c:pt idx="1">
                  <c:v>0.245</c:v>
                </c:pt>
                <c:pt idx="2">
                  <c:v>0.245</c:v>
                </c:pt>
                <c:pt idx="3">
                  <c:v>0.245</c:v>
                </c:pt>
                <c:pt idx="4">
                  <c:v>0.245</c:v>
                </c:pt>
                <c:pt idx="5">
                  <c:v>0.245</c:v>
                </c:pt>
              </c:numCache>
            </c:numRef>
          </c:yVal>
          <c:smooth val="1"/>
        </c:ser>
        <c:ser>
          <c:idx val="1"/>
          <c:order val="1"/>
          <c:errBars>
            <c:errDir val="y"/>
            <c:errBarType val="both"/>
            <c:errValType val="percentage"/>
            <c:noEndCap val="0"/>
            <c:val val="1"/>
          </c:errBars>
          <c:xVal>
            <c:numRef>
              <c:f>Sheet4!$A$1:$A$6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Sheet4!$C$1:$C$6</c:f>
              <c:numCache>
                <c:formatCode>General</c:formatCode>
                <c:ptCount val="6"/>
                <c:pt idx="0">
                  <c:v>0.24618519161779739</c:v>
                </c:pt>
                <c:pt idx="1">
                  <c:v>0.24317463081854901</c:v>
                </c:pt>
                <c:pt idx="2">
                  <c:v>0.24719908535531618</c:v>
                </c:pt>
                <c:pt idx="3">
                  <c:v>0.24320558404527398</c:v>
                </c:pt>
                <c:pt idx="4">
                  <c:v>0.24637857531450039</c:v>
                </c:pt>
                <c:pt idx="5">
                  <c:v>0.24161421577162115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565440"/>
        <c:axId val="45563904"/>
      </c:scatterChart>
      <c:valAx>
        <c:axId val="4556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563904"/>
        <c:crosses val="autoZero"/>
        <c:crossBetween val="midCat"/>
      </c:valAx>
      <c:valAx>
        <c:axId val="45563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5654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errBars>
            <c:errDir val="y"/>
            <c:errBarType val="both"/>
            <c:errValType val="percentage"/>
            <c:noEndCap val="0"/>
            <c:val val="5"/>
          </c:errBars>
          <c:xVal>
            <c:numRef>
              <c:f>Sheet5!$A$1:$A$6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Sheet5!$B$1:$B$6</c:f>
              <c:numCache>
                <c:formatCode>General</c:formatCode>
                <c:ptCount val="6"/>
                <c:pt idx="0">
                  <c:v>0.19</c:v>
                </c:pt>
                <c:pt idx="1">
                  <c:v>0.19</c:v>
                </c:pt>
                <c:pt idx="2">
                  <c:v>0.19</c:v>
                </c:pt>
                <c:pt idx="3">
                  <c:v>0.19</c:v>
                </c:pt>
                <c:pt idx="4">
                  <c:v>0.19</c:v>
                </c:pt>
                <c:pt idx="5">
                  <c:v>0.19</c:v>
                </c:pt>
              </c:numCache>
            </c:numRef>
          </c:yVal>
          <c:smooth val="1"/>
        </c:ser>
        <c:ser>
          <c:idx val="1"/>
          <c:order val="1"/>
          <c:errBars>
            <c:errDir val="y"/>
            <c:errBarType val="both"/>
            <c:errValType val="percentage"/>
            <c:noEndCap val="0"/>
            <c:val val="5"/>
          </c:errBars>
          <c:xVal>
            <c:numRef>
              <c:f>Sheet5!$A$1:$A$6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Sheet5!$C$1:$C$6</c:f>
              <c:numCache>
                <c:formatCode>General</c:formatCode>
                <c:ptCount val="6"/>
                <c:pt idx="0">
                  <c:v>0.18576949762174749</c:v>
                </c:pt>
                <c:pt idx="1">
                  <c:v>0.18161543804632302</c:v>
                </c:pt>
                <c:pt idx="2">
                  <c:v>0.177714554048641</c:v>
                </c:pt>
                <c:pt idx="3">
                  <c:v>0.17343820717282007</c:v>
                </c:pt>
                <c:pt idx="4">
                  <c:v>0.17380934458589606</c:v>
                </c:pt>
                <c:pt idx="5">
                  <c:v>0.17005914382372198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315264"/>
        <c:axId val="96313728"/>
      </c:scatterChart>
      <c:valAx>
        <c:axId val="96315264"/>
        <c:scaling>
          <c:orientation val="minMax"/>
        </c:scaling>
        <c:delete val="0"/>
        <c:axPos val="b"/>
        <c:title>
          <c:layout/>
          <c:overlay val="0"/>
        </c:title>
        <c:numFmt formatCode="General" sourceLinked="1"/>
        <c:majorTickMark val="out"/>
        <c:minorTickMark val="none"/>
        <c:tickLblPos val="nextTo"/>
        <c:crossAx val="96313728"/>
        <c:crosses val="autoZero"/>
        <c:crossBetween val="midCat"/>
      </c:valAx>
      <c:valAx>
        <c:axId val="96313728"/>
        <c:scaling>
          <c:orientation val="minMax"/>
        </c:scaling>
        <c:delete val="0"/>
        <c:axPos val="l"/>
        <c:majorGridlines/>
        <c:title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963152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errBars>
            <c:errDir val="y"/>
            <c:errBarType val="both"/>
            <c:errValType val="percentage"/>
            <c:noEndCap val="0"/>
            <c:val val="5"/>
          </c:errBars>
          <c:xVal>
            <c:numRef>
              <c:f>Sheet6!$A$1:$A$6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Sheet6!$B$1:$B$6</c:f>
              <c:numCache>
                <c:formatCode>General</c:formatCode>
                <c:ptCount val="6"/>
                <c:pt idx="0">
                  <c:v>0.26500000000000001</c:v>
                </c:pt>
                <c:pt idx="1">
                  <c:v>0.27</c:v>
                </c:pt>
                <c:pt idx="2">
                  <c:v>0.27</c:v>
                </c:pt>
                <c:pt idx="3">
                  <c:v>0.27500000000000002</c:v>
                </c:pt>
                <c:pt idx="4">
                  <c:v>0.28000000000000003</c:v>
                </c:pt>
                <c:pt idx="5">
                  <c:v>0.28000000000000003</c:v>
                </c:pt>
              </c:numCache>
            </c:numRef>
          </c:yVal>
          <c:smooth val="1"/>
        </c:ser>
        <c:ser>
          <c:idx val="1"/>
          <c:order val="1"/>
          <c:errBars>
            <c:errDir val="y"/>
            <c:errBarType val="both"/>
            <c:errValType val="percentage"/>
            <c:noEndCap val="0"/>
            <c:val val="5"/>
          </c:errBars>
          <c:xVal>
            <c:numRef>
              <c:f>Sheet6!$A$1:$A$6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Sheet6!$C$1:$C$6</c:f>
              <c:numCache>
                <c:formatCode>General</c:formatCode>
                <c:ptCount val="6"/>
                <c:pt idx="0">
                  <c:v>0.23246722324920452</c:v>
                </c:pt>
                <c:pt idx="1">
                  <c:v>0.23621093306889487</c:v>
                </c:pt>
                <c:pt idx="2">
                  <c:v>0.24076639415835327</c:v>
                </c:pt>
                <c:pt idx="3">
                  <c:v>0.24411801690448603</c:v>
                </c:pt>
                <c:pt idx="4">
                  <c:v>0.25633937630273695</c:v>
                </c:pt>
                <c:pt idx="5">
                  <c:v>0.28137796972607598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911104"/>
        <c:axId val="94909568"/>
      </c:scatterChart>
      <c:valAx>
        <c:axId val="94911104"/>
        <c:scaling>
          <c:orientation val="minMax"/>
        </c:scaling>
        <c:delete val="0"/>
        <c:axPos val="b"/>
        <c:title>
          <c:layout/>
          <c:overlay val="0"/>
        </c:title>
        <c:numFmt formatCode="General" sourceLinked="1"/>
        <c:majorTickMark val="out"/>
        <c:minorTickMark val="none"/>
        <c:tickLblPos val="nextTo"/>
        <c:crossAx val="94909568"/>
        <c:crosses val="autoZero"/>
        <c:crossBetween val="midCat"/>
      </c:valAx>
      <c:valAx>
        <c:axId val="94909568"/>
        <c:scaling>
          <c:orientation val="minMax"/>
        </c:scaling>
        <c:delete val="0"/>
        <c:axPos val="l"/>
        <c:majorGridlines/>
        <c:title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949111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errBars>
            <c:errDir val="y"/>
            <c:errBarType val="both"/>
            <c:errValType val="percentage"/>
            <c:noEndCap val="0"/>
            <c:val val="5"/>
          </c:errBars>
          <c:xVal>
            <c:numRef>
              <c:f>Sheet7!$A$1:$A$6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Sheet7!$B$1:$B$6</c:f>
              <c:numCache>
                <c:formatCode>General</c:formatCode>
                <c:ptCount val="6"/>
                <c:pt idx="0">
                  <c:v>0.23</c:v>
                </c:pt>
                <c:pt idx="1">
                  <c:v>0.23</c:v>
                </c:pt>
                <c:pt idx="2">
                  <c:v>0.23</c:v>
                </c:pt>
                <c:pt idx="3">
                  <c:v>0.23499999999999999</c:v>
                </c:pt>
                <c:pt idx="4">
                  <c:v>0.24</c:v>
                </c:pt>
                <c:pt idx="5">
                  <c:v>0.245</c:v>
                </c:pt>
              </c:numCache>
            </c:numRef>
          </c:yVal>
          <c:smooth val="1"/>
        </c:ser>
        <c:ser>
          <c:idx val="1"/>
          <c:order val="1"/>
          <c:errBars>
            <c:errDir val="y"/>
            <c:errBarType val="both"/>
            <c:errValType val="percentage"/>
            <c:noEndCap val="0"/>
            <c:val val="5"/>
          </c:errBars>
          <c:xVal>
            <c:numRef>
              <c:f>Sheet7!$A$1:$A$6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Sheet7!$C$1:$C$6</c:f>
              <c:numCache>
                <c:formatCode>General</c:formatCode>
                <c:ptCount val="6"/>
                <c:pt idx="0">
                  <c:v>0.18457083566461421</c:v>
                </c:pt>
                <c:pt idx="1">
                  <c:v>0.18429587214383997</c:v>
                </c:pt>
                <c:pt idx="2">
                  <c:v>0.20552477806651714</c:v>
                </c:pt>
                <c:pt idx="3">
                  <c:v>0.21452342483616582</c:v>
                </c:pt>
                <c:pt idx="4">
                  <c:v>0.23142811921517861</c:v>
                </c:pt>
                <c:pt idx="5">
                  <c:v>0.26855208743233683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400320"/>
        <c:axId val="97398784"/>
      </c:scatterChart>
      <c:valAx>
        <c:axId val="97400320"/>
        <c:scaling>
          <c:orientation val="minMax"/>
        </c:scaling>
        <c:delete val="0"/>
        <c:axPos val="b"/>
        <c:title>
          <c:layout/>
          <c:overlay val="0"/>
        </c:title>
        <c:numFmt formatCode="General" sourceLinked="1"/>
        <c:majorTickMark val="out"/>
        <c:minorTickMark val="none"/>
        <c:tickLblPos val="nextTo"/>
        <c:crossAx val="97398784"/>
        <c:crosses val="autoZero"/>
        <c:crossBetween val="midCat"/>
      </c:valAx>
      <c:valAx>
        <c:axId val="97398784"/>
        <c:scaling>
          <c:orientation val="minMax"/>
        </c:scaling>
        <c:delete val="0"/>
        <c:axPos val="l"/>
        <c:majorGridlines/>
        <c:title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974003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act</c:v>
          </c:tx>
          <c:errBars>
            <c:errDir val="y"/>
            <c:errBarType val="both"/>
            <c:errValType val="percentage"/>
            <c:noEndCap val="0"/>
            <c:val val="5"/>
          </c:errBars>
          <c:xVal>
            <c:numRef>
              <c:f>Sheet8!$A$1:$A$6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Sheet8!$B$1:$B$6</c:f>
              <c:numCache>
                <c:formatCode>General</c:formatCode>
                <c:ptCount val="6"/>
                <c:pt idx="0">
                  <c:v>0.18</c:v>
                </c:pt>
                <c:pt idx="1">
                  <c:v>0.19</c:v>
                </c:pt>
                <c:pt idx="2">
                  <c:v>0.2</c:v>
                </c:pt>
                <c:pt idx="3">
                  <c:v>0.20499999999999999</c:v>
                </c:pt>
                <c:pt idx="4">
                  <c:v>0.215</c:v>
                </c:pt>
                <c:pt idx="5">
                  <c:v>0.22</c:v>
                </c:pt>
              </c:numCache>
            </c:numRef>
          </c:yVal>
          <c:smooth val="1"/>
        </c:ser>
        <c:ser>
          <c:idx val="1"/>
          <c:order val="1"/>
          <c:errBars>
            <c:errDir val="y"/>
            <c:errBarType val="both"/>
            <c:errValType val="percentage"/>
            <c:noEndCap val="0"/>
            <c:val val="5"/>
          </c:errBars>
          <c:xVal>
            <c:numRef>
              <c:f>Sheet8!$A$1:$A$6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Sheet8!$C$1:$C$6</c:f>
              <c:numCache>
                <c:formatCode>General</c:formatCode>
                <c:ptCount val="6"/>
                <c:pt idx="0">
                  <c:v>0.14568916636750726</c:v>
                </c:pt>
                <c:pt idx="1">
                  <c:v>0.15391025855804155</c:v>
                </c:pt>
                <c:pt idx="2">
                  <c:v>0.17400316677666922</c:v>
                </c:pt>
                <c:pt idx="3">
                  <c:v>0.18132014597591362</c:v>
                </c:pt>
                <c:pt idx="4">
                  <c:v>0.2110308526267502</c:v>
                </c:pt>
                <c:pt idx="5">
                  <c:v>0.24723781496506692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85792"/>
        <c:axId val="42375808"/>
      </c:scatterChart>
      <c:valAx>
        <c:axId val="42385792"/>
        <c:scaling>
          <c:orientation val="minMax"/>
        </c:scaling>
        <c:delete val="0"/>
        <c:axPos val="b"/>
        <c:title>
          <c:layout/>
          <c:overlay val="0"/>
        </c:title>
        <c:numFmt formatCode="General" sourceLinked="1"/>
        <c:majorTickMark val="out"/>
        <c:minorTickMark val="none"/>
        <c:tickLblPos val="nextTo"/>
        <c:crossAx val="42375808"/>
        <c:crosses val="autoZero"/>
        <c:crossBetween val="midCat"/>
      </c:valAx>
      <c:valAx>
        <c:axId val="42375808"/>
        <c:scaling>
          <c:orientation val="minMax"/>
        </c:scaling>
        <c:delete val="0"/>
        <c:axPos val="l"/>
        <c:majorGridlines/>
        <c:title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423857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352425</xdr:colOff>
      <xdr:row>5</xdr:row>
      <xdr:rowOff>185737</xdr:rowOff>
    </xdr:from>
    <xdr:to>
      <xdr:col>7</xdr:col>
      <xdr:colOff>542925</xdr:colOff>
      <xdr:row>20</xdr:row>
      <xdr:rowOff>71437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5</xdr:row>
      <xdr:rowOff>185737</xdr:rowOff>
    </xdr:from>
    <xdr:to>
      <xdr:col>14</xdr:col>
      <xdr:colOff>161925</xdr:colOff>
      <xdr:row>20</xdr:row>
      <xdr:rowOff>71437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5</xdr:row>
      <xdr:rowOff>185737</xdr:rowOff>
    </xdr:from>
    <xdr:to>
      <xdr:col>14</xdr:col>
      <xdr:colOff>161925</xdr:colOff>
      <xdr:row>20</xdr:row>
      <xdr:rowOff>71437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5</xdr:row>
      <xdr:rowOff>185737</xdr:rowOff>
    </xdr:from>
    <xdr:to>
      <xdr:col>14</xdr:col>
      <xdr:colOff>161925</xdr:colOff>
      <xdr:row>20</xdr:row>
      <xdr:rowOff>71437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5</xdr:row>
      <xdr:rowOff>185737</xdr:rowOff>
    </xdr:from>
    <xdr:to>
      <xdr:col>14</xdr:col>
      <xdr:colOff>161925</xdr:colOff>
      <xdr:row>20</xdr:row>
      <xdr:rowOff>71437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5</xdr:row>
      <xdr:rowOff>185737</xdr:rowOff>
    </xdr:from>
    <xdr:to>
      <xdr:col>14</xdr:col>
      <xdr:colOff>161925</xdr:colOff>
      <xdr:row>20</xdr:row>
      <xdr:rowOff>71437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topLeftCell="G1" workbookViewId="0">
      <selection activeCell="D13" sqref="D13"/>
    </sheetView>
  </sheetViews>
  <sheetFormatPr defaultRowHeight="15" x14ac:dyDescent="0.25"/>
  <cols>
    <col min="2" max="2" width="12.28515625" customWidth="1"/>
    <col min="3" max="3" width="8.7109375" customWidth="1"/>
    <col min="5" max="5" width="12" bestFit="1" customWidth="1"/>
    <col min="6" max="6" width="10.42578125" customWidth="1"/>
    <col min="7" max="7" width="14.7109375" customWidth="1"/>
    <col min="8" max="8" width="13.42578125" customWidth="1"/>
    <col min="11" max="11" width="12.140625" customWidth="1"/>
    <col min="12" max="12" width="12" bestFit="1" customWidth="1"/>
    <col min="16" max="16" width="10.42578125" customWidth="1"/>
    <col min="19" max="19" width="7.140625" customWidth="1"/>
    <col min="20" max="20" width="11.7109375" customWidth="1"/>
    <col min="21" max="21" width="13.28515625" customWidth="1"/>
    <col min="25" max="25" width="11.140625" customWidth="1"/>
  </cols>
  <sheetData>
    <row r="1" spans="1:25" x14ac:dyDescent="0.25">
      <c r="A1" t="s">
        <v>8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>
        <v>8</v>
      </c>
      <c r="K1">
        <v>7</v>
      </c>
    </row>
    <row r="2" spans="1:25" x14ac:dyDescent="0.25">
      <c r="A2">
        <v>1</v>
      </c>
      <c r="B2">
        <v>3.8999999999999999E-4</v>
      </c>
      <c r="C2">
        <v>2.87</v>
      </c>
      <c r="D2">
        <v>0.2</v>
      </c>
      <c r="E2">
        <v>0.17</v>
      </c>
      <c r="F2">
        <v>0.14000000000000001</v>
      </c>
      <c r="G2">
        <v>0.11</v>
      </c>
      <c r="H2">
        <v>8.5000000000000006E-2</v>
      </c>
      <c r="I2">
        <v>0.05</v>
      </c>
      <c r="J2">
        <v>4.4999999999999998E-2</v>
      </c>
      <c r="K2">
        <v>0.20499999999999999</v>
      </c>
    </row>
    <row r="3" spans="1:25" x14ac:dyDescent="0.25">
      <c r="A3">
        <v>2</v>
      </c>
      <c r="B3">
        <v>4.0999999999999999E-4</v>
      </c>
      <c r="C3">
        <v>2.4</v>
      </c>
      <c r="D3">
        <v>0.24</v>
      </c>
      <c r="E3">
        <v>0.19</v>
      </c>
      <c r="F3">
        <v>0.14499999999999999</v>
      </c>
      <c r="G3">
        <v>9.5000000000000001E-2</v>
      </c>
      <c r="H3">
        <v>5.5E-2</v>
      </c>
      <c r="I3">
        <v>0</v>
      </c>
      <c r="J3">
        <v>1.4999999999999999E-2</v>
      </c>
      <c r="K3">
        <v>0.245</v>
      </c>
    </row>
    <row r="4" spans="1:25" x14ac:dyDescent="0.25">
      <c r="A4">
        <v>3</v>
      </c>
      <c r="B4">
        <v>3.4499999999999998E-4</v>
      </c>
      <c r="C4">
        <v>5.72</v>
      </c>
      <c r="D4">
        <v>0.185</v>
      </c>
      <c r="E4">
        <v>0.17499999999999999</v>
      </c>
      <c r="F4">
        <v>0.16500000000000001</v>
      </c>
      <c r="G4">
        <v>0.155</v>
      </c>
      <c r="H4">
        <v>0.15</v>
      </c>
      <c r="I4">
        <v>0.14000000000000001</v>
      </c>
      <c r="J4">
        <v>0.13500000000000001</v>
      </c>
      <c r="K4">
        <v>0.19</v>
      </c>
    </row>
    <row r="6" spans="1:25" x14ac:dyDescent="0.25">
      <c r="B6">
        <v>1</v>
      </c>
      <c r="C6">
        <v>2</v>
      </c>
      <c r="D6">
        <v>3</v>
      </c>
    </row>
    <row r="7" spans="1:25" x14ac:dyDescent="0.25">
      <c r="A7">
        <v>1</v>
      </c>
      <c r="B7">
        <v>0.2</v>
      </c>
      <c r="C7">
        <v>0.24</v>
      </c>
      <c r="D7">
        <v>0.185</v>
      </c>
    </row>
    <row r="8" spans="1:25" x14ac:dyDescent="0.25">
      <c r="A8">
        <v>2</v>
      </c>
      <c r="B8">
        <v>0.17</v>
      </c>
      <c r="C8">
        <v>0.19</v>
      </c>
      <c r="D8">
        <v>0.17499999999999999</v>
      </c>
    </row>
    <row r="9" spans="1:25" x14ac:dyDescent="0.25">
      <c r="A9">
        <v>3</v>
      </c>
      <c r="B9">
        <v>0.14000000000000001</v>
      </c>
      <c r="C9">
        <v>0.14499999999999999</v>
      </c>
      <c r="D9">
        <v>0.16500000000000001</v>
      </c>
    </row>
    <row r="10" spans="1:25" x14ac:dyDescent="0.25">
      <c r="A10">
        <v>4</v>
      </c>
      <c r="B10">
        <v>0.11</v>
      </c>
      <c r="C10">
        <v>9.5000000000000001E-2</v>
      </c>
      <c r="D10">
        <v>0.155</v>
      </c>
    </row>
    <row r="11" spans="1:25" x14ac:dyDescent="0.25">
      <c r="A11">
        <v>5</v>
      </c>
      <c r="B11">
        <v>8.5000000000000006E-2</v>
      </c>
      <c r="C11">
        <v>5.5E-2</v>
      </c>
      <c r="D11">
        <v>0.15</v>
      </c>
    </row>
    <row r="12" spans="1:25" x14ac:dyDescent="0.25">
      <c r="A12">
        <v>6</v>
      </c>
      <c r="B12">
        <v>0.05</v>
      </c>
      <c r="C12">
        <v>0</v>
      </c>
      <c r="D12">
        <v>0.14000000000000001</v>
      </c>
    </row>
    <row r="13" spans="1:25" x14ac:dyDescent="0.25">
      <c r="A13">
        <v>7</v>
      </c>
      <c r="B13">
        <v>0.20499999999999999</v>
      </c>
      <c r="C13">
        <v>0.245</v>
      </c>
      <c r="D13">
        <v>0.19</v>
      </c>
    </row>
    <row r="14" spans="1:25" x14ac:dyDescent="0.25">
      <c r="A14">
        <v>8</v>
      </c>
      <c r="B14">
        <v>4.4999999999999998E-2</v>
      </c>
      <c r="C14">
        <v>1.4999999999999999E-2</v>
      </c>
      <c r="D14">
        <v>0.13500000000000001</v>
      </c>
    </row>
    <row r="16" spans="1:25" ht="17.25" x14ac:dyDescent="0.4">
      <c r="A16" t="s">
        <v>9</v>
      </c>
      <c r="B16" t="s">
        <v>10</v>
      </c>
      <c r="C16" t="s">
        <v>11</v>
      </c>
      <c r="D16" s="1" t="s">
        <v>12</v>
      </c>
      <c r="E16" s="3" t="s">
        <v>14</v>
      </c>
      <c r="F16" s="2" t="s">
        <v>15</v>
      </c>
      <c r="G16" t="s">
        <v>13</v>
      </c>
      <c r="H16" s="3" t="s">
        <v>14</v>
      </c>
      <c r="I16" s="2" t="s">
        <v>15</v>
      </c>
      <c r="J16" t="s">
        <v>16</v>
      </c>
      <c r="K16" t="s">
        <v>10</v>
      </c>
      <c r="L16" t="s">
        <v>11</v>
      </c>
      <c r="M16" s="1" t="s">
        <v>12</v>
      </c>
      <c r="N16" s="3" t="s">
        <v>14</v>
      </c>
      <c r="O16" s="2" t="s">
        <v>15</v>
      </c>
      <c r="P16" t="s">
        <v>13</v>
      </c>
      <c r="S16" t="s">
        <v>17</v>
      </c>
      <c r="T16" t="s">
        <v>10</v>
      </c>
      <c r="U16" t="s">
        <v>11</v>
      </c>
      <c r="V16" s="1" t="s">
        <v>12</v>
      </c>
      <c r="W16" s="3" t="s">
        <v>14</v>
      </c>
      <c r="X16" s="2" t="s">
        <v>15</v>
      </c>
      <c r="Y16" t="s">
        <v>13</v>
      </c>
    </row>
    <row r="17" spans="1:25" x14ac:dyDescent="0.25">
      <c r="A17">
        <v>1</v>
      </c>
      <c r="B17">
        <v>4.9087399999999998E-4</v>
      </c>
      <c r="C17">
        <f>B2/C2</f>
        <v>1.3588850174216027E-4</v>
      </c>
      <c r="D17">
        <f>0.000136/B17</f>
        <v>0.27705684147051995</v>
      </c>
      <c r="E17">
        <f>(D17)^2/(2*9.81)</f>
        <v>3.9123595007961682E-3</v>
      </c>
      <c r="F17">
        <f>E17+B7</f>
        <v>0.20391235950079617</v>
      </c>
      <c r="G17">
        <f>(2*9.81*(0.205-B7))^0.5</f>
        <v>0.31320919526731578</v>
      </c>
      <c r="H17">
        <f>(G17)^2/(2*9.81)</f>
        <v>4.9999999999999767E-3</v>
      </c>
      <c r="I17">
        <f>H17+B7</f>
        <v>0.20499999999999999</v>
      </c>
      <c r="J17">
        <v>1</v>
      </c>
      <c r="K17">
        <v>4.9087399999999998E-4</v>
      </c>
      <c r="L17">
        <f>B3/C3</f>
        <v>1.7083333333333333E-4</v>
      </c>
      <c r="M17">
        <f>0.000171/K17</f>
        <v>0.34835823449602143</v>
      </c>
      <c r="N17">
        <f>(M17)^2/(2*9.81)</f>
        <v>6.1851916177974031E-3</v>
      </c>
      <c r="O17">
        <f>N17+C7</f>
        <v>0.24618519161779739</v>
      </c>
      <c r="P17">
        <f>(2*9.81*(0.245-C7))^0.5</f>
        <v>0.31320919526731666</v>
      </c>
      <c r="S17">
        <v>1</v>
      </c>
      <c r="T17">
        <v>4.9087399999999998E-4</v>
      </c>
      <c r="U17">
        <f>B4/C4</f>
        <v>6.0314685314685316E-5</v>
      </c>
      <c r="V17">
        <f>0.0000603147/T17</f>
        <v>0.12287206085472037</v>
      </c>
      <c r="W17">
        <f>(V17)^2/(2*9.81)</f>
        <v>7.6949762174750782E-4</v>
      </c>
      <c r="X17">
        <f>W17+D7</f>
        <v>0.18576949762174749</v>
      </c>
      <c r="Y17">
        <f>(2*9.81*(0.19-D7))^0.5</f>
        <v>0.31320919526731666</v>
      </c>
    </row>
    <row r="18" spans="1:25" x14ac:dyDescent="0.25">
      <c r="A18">
        <v>2</v>
      </c>
      <c r="B18">
        <v>1.67415E-4</v>
      </c>
      <c r="D18">
        <f t="shared" ref="D18:D22" si="0">0.000136/B18</f>
        <v>0.8123525371083834</v>
      </c>
      <c r="E18">
        <f t="shared" ref="E18:E22" si="1">(D18)^2/(2*9.81)</f>
        <v>3.3634895236820964E-2</v>
      </c>
      <c r="F18">
        <f t="shared" ref="F18:F22" si="2">E18+B8</f>
        <v>0.20363489523682099</v>
      </c>
      <c r="G18">
        <f t="shared" ref="G18:G22" si="3">(2*9.81*(0.205-B8))^0.5</f>
        <v>0.82867363901598767</v>
      </c>
      <c r="H18">
        <f t="shared" ref="H18:H22" si="4">(G18)^2/(2*9.81)</f>
        <v>3.4999999999999969E-2</v>
      </c>
      <c r="I18">
        <f t="shared" ref="I18:I22" si="5">H18+B8</f>
        <v>0.20499999999999999</v>
      </c>
      <c r="J18">
        <v>2</v>
      </c>
      <c r="K18">
        <v>1.67415E-4</v>
      </c>
      <c r="M18">
        <f t="shared" ref="M18:M22" si="6">0.000171/K18</f>
        <v>1.0214138518053939</v>
      </c>
      <c r="N18">
        <f t="shared" ref="N18:N22" si="7">(M18)^2/(2*9.81)</f>
        <v>5.3174630818548993E-2</v>
      </c>
      <c r="O18">
        <f t="shared" ref="O18:O22" si="8">N18+C8</f>
        <v>0.24317463081854901</v>
      </c>
      <c r="P18">
        <f t="shared" ref="P18:P22" si="9">(2*9.81*(0.245-C8))^0.5</f>
        <v>1.0387973815908471</v>
      </c>
      <c r="S18">
        <v>2</v>
      </c>
      <c r="T18">
        <v>1.67415E-4</v>
      </c>
      <c r="V18">
        <f t="shared" ref="V18:V22" si="10">0.0000603147/T18</f>
        <v>0.36027058507302212</v>
      </c>
      <c r="W18">
        <f t="shared" ref="W18:W22" si="11">(V18)^2/(2*9.81)</f>
        <v>6.6154380463230205E-3</v>
      </c>
      <c r="X18">
        <f t="shared" ref="X18:X22" si="12">W18+D8</f>
        <v>0.18161543804632302</v>
      </c>
      <c r="Y18">
        <f t="shared" ref="Y18:Y22" si="13">(2*9.81*(0.19-D8))^0.5</f>
        <v>0.54249423960075405</v>
      </c>
    </row>
    <row r="19" spans="1:25" x14ac:dyDescent="0.25">
      <c r="A19">
        <v>3</v>
      </c>
      <c r="B19">
        <v>1.2076E-4</v>
      </c>
      <c r="D19">
        <f t="shared" si="0"/>
        <v>1.1262007287181186</v>
      </c>
      <c r="E19">
        <f t="shared" si="1"/>
        <v>6.4644652465097929E-2</v>
      </c>
      <c r="F19">
        <f t="shared" si="2"/>
        <v>0.20464465246509794</v>
      </c>
      <c r="G19">
        <f t="shared" si="3"/>
        <v>1.1292918134831225</v>
      </c>
      <c r="H19">
        <f t="shared" si="4"/>
        <v>6.4999999999999974E-2</v>
      </c>
      <c r="I19">
        <f t="shared" si="5"/>
        <v>0.20499999999999999</v>
      </c>
      <c r="J19">
        <v>3</v>
      </c>
      <c r="K19">
        <v>1.2076E-4</v>
      </c>
      <c r="M19">
        <f t="shared" si="6"/>
        <v>1.4160317986088109</v>
      </c>
      <c r="N19">
        <f t="shared" si="7"/>
        <v>0.10219908535531619</v>
      </c>
      <c r="O19">
        <f t="shared" si="8"/>
        <v>0.24719908535531618</v>
      </c>
      <c r="P19">
        <f t="shared" si="9"/>
        <v>1.4007141035914503</v>
      </c>
      <c r="S19">
        <v>3</v>
      </c>
      <c r="T19">
        <v>1.2076E-4</v>
      </c>
      <c r="V19">
        <f t="shared" si="10"/>
        <v>0.49945925803246105</v>
      </c>
      <c r="W19">
        <f t="shared" si="11"/>
        <v>1.2714554048641004E-2</v>
      </c>
      <c r="X19">
        <f t="shared" si="12"/>
        <v>0.177714554048641</v>
      </c>
      <c r="Y19">
        <f t="shared" si="13"/>
        <v>0.70035705179572505</v>
      </c>
    </row>
    <row r="20" spans="1:25" x14ac:dyDescent="0.25">
      <c r="A20">
        <v>4</v>
      </c>
      <c r="B20">
        <v>1.0028E-4</v>
      </c>
      <c r="D20">
        <f t="shared" si="0"/>
        <v>1.3562026326286398</v>
      </c>
      <c r="E20">
        <f t="shared" si="1"/>
        <v>9.3745442443876309E-2</v>
      </c>
      <c r="F20">
        <f t="shared" si="2"/>
        <v>0.20374544244387632</v>
      </c>
      <c r="G20">
        <f t="shared" si="3"/>
        <v>1.3652472303579304</v>
      </c>
      <c r="H20">
        <f t="shared" si="4"/>
        <v>9.4999999999999987E-2</v>
      </c>
      <c r="I20">
        <f t="shared" si="5"/>
        <v>0.20499999999999999</v>
      </c>
      <c r="J20">
        <v>4</v>
      </c>
      <c r="K20">
        <v>1.0028E-4</v>
      </c>
      <c r="M20">
        <f t="shared" si="6"/>
        <v>1.7052253689668928</v>
      </c>
      <c r="N20">
        <f t="shared" si="7"/>
        <v>0.14820558404527398</v>
      </c>
      <c r="O20">
        <f t="shared" si="8"/>
        <v>0.24320558404527398</v>
      </c>
      <c r="P20">
        <f t="shared" si="9"/>
        <v>1.7155174146594956</v>
      </c>
      <c r="S20">
        <v>4</v>
      </c>
      <c r="T20">
        <v>1.0028E-4</v>
      </c>
      <c r="V20">
        <f t="shared" si="10"/>
        <v>0.60146290386916634</v>
      </c>
      <c r="W20">
        <f t="shared" si="11"/>
        <v>1.8438207172820083E-2</v>
      </c>
      <c r="X20">
        <f t="shared" si="12"/>
        <v>0.17343820717282007</v>
      </c>
      <c r="Y20">
        <f t="shared" si="13"/>
        <v>0.82867363901598801</v>
      </c>
    </row>
    <row r="21" spans="1:25" x14ac:dyDescent="0.25">
      <c r="A21">
        <v>5</v>
      </c>
      <c r="B21">
        <v>8.8246999999999997E-5</v>
      </c>
      <c r="D21">
        <f t="shared" si="0"/>
        <v>1.541128876902331</v>
      </c>
      <c r="E21">
        <f t="shared" si="1"/>
        <v>0.12105393553630174</v>
      </c>
      <c r="F21">
        <f t="shared" si="2"/>
        <v>0.20605393553630175</v>
      </c>
      <c r="G21">
        <f t="shared" si="3"/>
        <v>1.5344054223053305</v>
      </c>
      <c r="H21">
        <f t="shared" si="4"/>
        <v>0.11999999999999997</v>
      </c>
      <c r="I21">
        <f t="shared" si="5"/>
        <v>0.20499999999999996</v>
      </c>
      <c r="J21">
        <v>5</v>
      </c>
      <c r="K21">
        <v>8.8246999999999997E-5</v>
      </c>
      <c r="M21">
        <f t="shared" si="6"/>
        <v>1.9377429261051369</v>
      </c>
      <c r="N21">
        <f t="shared" si="7"/>
        <v>0.19137857531450039</v>
      </c>
      <c r="O21">
        <f t="shared" si="8"/>
        <v>0.24637857531450039</v>
      </c>
      <c r="P21">
        <f t="shared" si="9"/>
        <v>1.9307511491644904</v>
      </c>
      <c r="S21">
        <v>5</v>
      </c>
      <c r="T21">
        <v>8.8246999999999997E-5</v>
      </c>
      <c r="V21">
        <f t="shared" si="10"/>
        <v>0.68347592552721337</v>
      </c>
      <c r="W21">
        <f t="shared" si="11"/>
        <v>2.3809344585896071E-2</v>
      </c>
      <c r="X21">
        <f t="shared" si="12"/>
        <v>0.17380934458589606</v>
      </c>
      <c r="Y21">
        <f t="shared" si="13"/>
        <v>0.88588938361400416</v>
      </c>
    </row>
    <row r="22" spans="1:25" x14ac:dyDescent="0.25">
      <c r="A22">
        <v>6</v>
      </c>
      <c r="B22">
        <v>7.8539000000000001E-5</v>
      </c>
      <c r="D22">
        <f t="shared" si="0"/>
        <v>1.7316237792688982</v>
      </c>
      <c r="E22">
        <f t="shared" si="1"/>
        <v>0.1528298120759175</v>
      </c>
      <c r="F22">
        <f t="shared" si="2"/>
        <v>0.20282981207591749</v>
      </c>
      <c r="G22">
        <f t="shared" si="3"/>
        <v>1.7438749955200343</v>
      </c>
      <c r="H22">
        <f t="shared" si="4"/>
        <v>0.15499999999999997</v>
      </c>
      <c r="I22">
        <f t="shared" si="5"/>
        <v>0.20499999999999996</v>
      </c>
      <c r="J22">
        <v>6</v>
      </c>
      <c r="K22">
        <v>7.8539000000000001E-5</v>
      </c>
      <c r="M22">
        <f t="shared" si="6"/>
        <v>2.1772622518748648</v>
      </c>
      <c r="N22">
        <f t="shared" si="7"/>
        <v>0.24161421577162115</v>
      </c>
      <c r="O22">
        <f t="shared" si="8"/>
        <v>0.24161421577162115</v>
      </c>
      <c r="P22">
        <f t="shared" si="9"/>
        <v>2.1924643668712154</v>
      </c>
      <c r="S22">
        <v>6</v>
      </c>
      <c r="T22">
        <v>7.8539000000000001E-5</v>
      </c>
      <c r="V22">
        <f t="shared" si="10"/>
        <v>0.76795859381963105</v>
      </c>
      <c r="W22">
        <f t="shared" si="11"/>
        <v>3.0059143823721969E-2</v>
      </c>
      <c r="X22">
        <f t="shared" si="12"/>
        <v>0.17005914382372198</v>
      </c>
      <c r="Y22">
        <f t="shared" si="13"/>
        <v>0.99045444115315062</v>
      </c>
    </row>
    <row r="23" spans="1:25" x14ac:dyDescent="0.25">
      <c r="C23" t="s">
        <v>18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L23" t="s">
        <v>18</v>
      </c>
      <c r="M23" t="s">
        <v>19</v>
      </c>
      <c r="N23" t="s">
        <v>19</v>
      </c>
      <c r="O23" t="s">
        <v>19</v>
      </c>
      <c r="P23" t="s">
        <v>19</v>
      </c>
      <c r="U23" t="s">
        <v>18</v>
      </c>
      <c r="V23" t="s">
        <v>19</v>
      </c>
      <c r="W23" t="s">
        <v>19</v>
      </c>
      <c r="X23" t="s">
        <v>19</v>
      </c>
      <c r="Y23" t="s">
        <v>19</v>
      </c>
    </row>
    <row r="24" spans="1:25" x14ac:dyDescent="0.25">
      <c r="A24">
        <v>1</v>
      </c>
      <c r="C24">
        <f>(0.0000025/2.87)+((0.00039*0.005)/(2.87^2))</f>
        <v>1.1078196894462724E-6</v>
      </c>
      <c r="D24">
        <f>((0.0000025/2.87)+((0.00039*0.005)/(2.87^2)))/B17</f>
        <v>2.256831059388504E-3</v>
      </c>
      <c r="E24">
        <f>(D24*D17)/9.81</f>
        <v>6.3738071870208602E-5</v>
      </c>
      <c r="F24">
        <f>E24+0.0025</f>
        <v>2.5637380718702089E-3</v>
      </c>
      <c r="G24">
        <f>((9.81*2)^0.5)*(0.0025)/(0.205-B7)^0.5</f>
        <v>0.15660459763365864</v>
      </c>
      <c r="H24">
        <f>(G24*G17)/9.81</f>
        <v>5.0000000000000001E-3</v>
      </c>
      <c r="I24">
        <f>H24+0.0025</f>
        <v>7.4999999999999997E-3</v>
      </c>
      <c r="J24">
        <v>1</v>
      </c>
      <c r="L24">
        <f>(0.0000025/2.4)+((0.00041*0.005)/(2.4^2))</f>
        <v>1.3975694444444444E-6</v>
      </c>
      <c r="M24">
        <f>(0.00000139757)/K17</f>
        <v>2.8471053671614305E-3</v>
      </c>
      <c r="N24">
        <f>(M24*M17)/9.81</f>
        <v>1.0110220174602475E-4</v>
      </c>
      <c r="O24">
        <f>N24+0.0025</f>
        <v>2.6011022017460249E-3</v>
      </c>
      <c r="P24">
        <f>((9.81*2)^0.5)*(0.0025)/(0.245-C7)^0.5</f>
        <v>0.15660459763365822</v>
      </c>
      <c r="S24">
        <v>1</v>
      </c>
      <c r="U24">
        <f>(0.0000025/5.72)+((0.000345*0.005)/(5.72^2))</f>
        <v>4.8978556408626342E-7</v>
      </c>
      <c r="V24">
        <f>0.000000489786/T17</f>
        <v>9.9778354526823586E-4</v>
      </c>
      <c r="W24">
        <f>(V24*V17)/9.81</f>
        <v>1.2497423088077199E-5</v>
      </c>
      <c r="X24">
        <f>W24+0.0025</f>
        <v>2.5124974230880774E-3</v>
      </c>
      <c r="Y24">
        <f>((9.81*2)^0.5)*(0.0025)/(0.19-D7)^0.5</f>
        <v>0.15660459763365822</v>
      </c>
    </row>
    <row r="25" spans="1:25" x14ac:dyDescent="0.25">
      <c r="A25">
        <v>2</v>
      </c>
      <c r="D25">
        <f t="shared" ref="D25:D29" si="14">((0.0000025/2.87)+((0.00039*0.005)/(2.87^2)))/B18</f>
        <v>6.6172068777963292E-3</v>
      </c>
      <c r="E25">
        <f t="shared" ref="E25:E29" si="15">(D25*D18)/9.81</f>
        <v>5.4796175287960167E-4</v>
      </c>
      <c r="F25">
        <f t="shared" ref="F25:F29" si="16">E25+0.0025</f>
        <v>3.0479617528796016E-3</v>
      </c>
      <c r="G25">
        <f t="shared" ref="G25:G29" si="17">((9.81*2)^0.5)*(0.0025)/(0.205-B8)^0.5</f>
        <v>5.9190974215427745E-2</v>
      </c>
      <c r="H25">
        <f t="shared" ref="H25:H29" si="18">(G25*G18)/9.81</f>
        <v>5.0000000000000001E-3</v>
      </c>
      <c r="I25">
        <f t="shared" ref="I25:I29" si="19">H25+0.0025</f>
        <v>7.4999999999999997E-3</v>
      </c>
      <c r="J25">
        <v>2</v>
      </c>
      <c r="M25">
        <f t="shared" ref="M25:M29" si="20">(0.00000139757)/K18</f>
        <v>8.3479377594600241E-3</v>
      </c>
      <c r="N25">
        <f t="shared" ref="N25:N29" si="21">(M25*M18)/9.81</f>
        <v>8.6918443032841511E-4</v>
      </c>
      <c r="O25">
        <f t="shared" ref="O25:O29" si="22">N25+0.0025</f>
        <v>3.3691844303284152E-3</v>
      </c>
      <c r="P25">
        <f t="shared" ref="P25:P29" si="23">((9.81*2)^0.5)*(0.0025)/(0.245-C8)^0.5</f>
        <v>4.7218062799583967E-2</v>
      </c>
      <c r="S25">
        <v>2</v>
      </c>
      <c r="V25">
        <f>0.000000489786/T18</f>
        <v>2.9255801451482841E-3</v>
      </c>
      <c r="W25">
        <f t="shared" ref="W25:W29" si="24">(V25*V18)/9.81</f>
        <v>1.0744143430892856E-4</v>
      </c>
      <c r="X25">
        <f t="shared" ref="X25:X29" si="25">W25+0.0025</f>
        <v>2.6074414343089285E-3</v>
      </c>
      <c r="Y25">
        <f t="shared" ref="Y25:Y29" si="26">((9.81*2)^0.5)*(0.0025)/(0.19-D8)^0.5</f>
        <v>9.04157066001256E-2</v>
      </c>
    </row>
    <row r="26" spans="1:25" x14ac:dyDescent="0.25">
      <c r="A26">
        <v>3</v>
      </c>
      <c r="D26">
        <f t="shared" si="14"/>
        <v>9.1737304525196448E-3</v>
      </c>
      <c r="E26">
        <f t="shared" si="15"/>
        <v>1.0531561590918675E-3</v>
      </c>
      <c r="F26">
        <f t="shared" si="16"/>
        <v>3.5531561590918673E-3</v>
      </c>
      <c r="G26">
        <f t="shared" si="17"/>
        <v>4.3434300518581652E-2</v>
      </c>
      <c r="H26">
        <f t="shared" si="18"/>
        <v>5.0000000000000001E-3</v>
      </c>
      <c r="I26">
        <f t="shared" si="19"/>
        <v>7.4999999999999997E-3</v>
      </c>
      <c r="J26">
        <v>3</v>
      </c>
      <c r="M26">
        <f>(0.00000139757)/K19</f>
        <v>1.1573120238489566E-2</v>
      </c>
      <c r="N26">
        <f t="shared" si="21"/>
        <v>1.6705307101757807E-3</v>
      </c>
      <c r="O26">
        <f t="shared" si="22"/>
        <v>4.1705307101757806E-3</v>
      </c>
      <c r="P26">
        <f t="shared" si="23"/>
        <v>3.5017852589786257E-2</v>
      </c>
      <c r="S26">
        <v>3</v>
      </c>
      <c r="V26">
        <f t="shared" ref="V26:V29" si="27">0.000000489786/T19</f>
        <v>4.0558628684995027E-3</v>
      </c>
      <c r="W26">
        <f t="shared" si="24"/>
        <v>2.0649727410623555E-4</v>
      </c>
      <c r="X26">
        <f t="shared" si="25"/>
        <v>2.7064972741062355E-3</v>
      </c>
      <c r="Y26">
        <f t="shared" si="26"/>
        <v>7.0035705179572527E-2</v>
      </c>
    </row>
    <row r="27" spans="1:25" x14ac:dyDescent="0.25">
      <c r="A27">
        <v>4</v>
      </c>
      <c r="D27">
        <f t="shared" si="14"/>
        <v>1.1047264553712331E-2</v>
      </c>
      <c r="E27">
        <f t="shared" si="15"/>
        <v>1.527250690223213E-3</v>
      </c>
      <c r="F27">
        <f t="shared" si="16"/>
        <v>4.0272506902232132E-3</v>
      </c>
      <c r="G27">
        <f t="shared" si="17"/>
        <v>3.5927558693629756E-2</v>
      </c>
      <c r="H27">
        <f t="shared" si="18"/>
        <v>5.000000000000001E-3</v>
      </c>
      <c r="I27">
        <f t="shared" si="19"/>
        <v>7.5000000000000015E-3</v>
      </c>
      <c r="J27">
        <v>4</v>
      </c>
      <c r="M27">
        <f t="shared" si="20"/>
        <v>1.393667730355006E-2</v>
      </c>
      <c r="N27">
        <f t="shared" si="21"/>
        <v>2.422545942621679E-3</v>
      </c>
      <c r="O27">
        <f t="shared" si="22"/>
        <v>4.922545942621679E-3</v>
      </c>
      <c r="P27">
        <f t="shared" si="23"/>
        <v>2.8591956910991596E-2</v>
      </c>
      <c r="S27">
        <v>4</v>
      </c>
      <c r="V27">
        <f t="shared" si="27"/>
        <v>4.8841842840047864E-3</v>
      </c>
      <c r="W27">
        <f t="shared" si="24"/>
        <v>2.9945521534043462E-4</v>
      </c>
      <c r="X27">
        <f t="shared" si="25"/>
        <v>2.7994552153404349E-3</v>
      </c>
      <c r="Y27">
        <f t="shared" si="26"/>
        <v>5.9190974215427718E-2</v>
      </c>
    </row>
    <row r="28" spans="1:25" x14ac:dyDescent="0.25">
      <c r="A28">
        <v>5</v>
      </c>
      <c r="D28">
        <f t="shared" si="14"/>
        <v>1.2553624366225168E-2</v>
      </c>
      <c r="E28">
        <f t="shared" si="15"/>
        <v>1.9721460775305125E-3</v>
      </c>
      <c r="F28">
        <f t="shared" si="16"/>
        <v>4.472146077530513E-3</v>
      </c>
      <c r="G28">
        <f t="shared" si="17"/>
        <v>3.1966779631361061E-2</v>
      </c>
      <c r="H28">
        <f t="shared" si="18"/>
        <v>5.0000000000000001E-3</v>
      </c>
      <c r="I28">
        <f t="shared" si="19"/>
        <v>7.4999999999999997E-3</v>
      </c>
      <c r="J28">
        <v>5</v>
      </c>
      <c r="M28">
        <f t="shared" si="20"/>
        <v>1.583702562126758E-2</v>
      </c>
      <c r="N28">
        <f t="shared" si="21"/>
        <v>3.1282450935939923E-3</v>
      </c>
      <c r="O28">
        <f t="shared" si="22"/>
        <v>5.6282450935939924E-3</v>
      </c>
      <c r="P28">
        <f t="shared" si="23"/>
        <v>2.54046203837433E-2</v>
      </c>
      <c r="S28">
        <v>5</v>
      </c>
      <c r="V28">
        <f t="shared" si="27"/>
        <v>5.5501716772241548E-3</v>
      </c>
      <c r="W28">
        <f t="shared" si="24"/>
        <v>3.8668794331556626E-4</v>
      </c>
      <c r="X28">
        <f t="shared" si="25"/>
        <v>2.8866879433155665E-3</v>
      </c>
      <c r="Y28">
        <f t="shared" si="26"/>
        <v>5.536808647587526E-2</v>
      </c>
    </row>
    <row r="29" spans="1:25" x14ac:dyDescent="0.25">
      <c r="A29">
        <v>6</v>
      </c>
      <c r="D29">
        <f t="shared" si="14"/>
        <v>1.4105344980790083E-2</v>
      </c>
      <c r="E29">
        <f t="shared" si="15"/>
        <v>2.489821690471693E-3</v>
      </c>
      <c r="F29">
        <f t="shared" si="16"/>
        <v>4.989821690471693E-3</v>
      </c>
      <c r="G29">
        <f t="shared" si="17"/>
        <v>2.8127016056774756E-2</v>
      </c>
      <c r="H29">
        <f t="shared" si="18"/>
        <v>5.000000000000001E-3</v>
      </c>
      <c r="I29">
        <f t="shared" si="19"/>
        <v>7.5000000000000015E-3</v>
      </c>
      <c r="J29">
        <v>6</v>
      </c>
      <c r="M29">
        <f t="shared" si="20"/>
        <v>1.7794598861712016E-2</v>
      </c>
      <c r="N29">
        <f t="shared" si="21"/>
        <v>3.9493892343385332E-3</v>
      </c>
      <c r="O29">
        <f t="shared" si="22"/>
        <v>6.4493892343385328E-3</v>
      </c>
      <c r="P29">
        <f t="shared" si="23"/>
        <v>2.2372085376236896E-2</v>
      </c>
      <c r="S29">
        <v>6</v>
      </c>
      <c r="V29">
        <f t="shared" si="27"/>
        <v>6.2362138555367395E-3</v>
      </c>
      <c r="W29">
        <f t="shared" si="24"/>
        <v>4.8819103193236432E-4</v>
      </c>
      <c r="X29">
        <f t="shared" si="25"/>
        <v>2.9881910319323642E-3</v>
      </c>
      <c r="Y29">
        <f t="shared" si="26"/>
        <v>4.9522722057657551E-2</v>
      </c>
    </row>
  </sheetData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topLeftCell="E1" workbookViewId="0">
      <selection activeCell="AA27" sqref="AA27"/>
    </sheetView>
  </sheetViews>
  <sheetFormatPr defaultRowHeight="15" x14ac:dyDescent="0.25"/>
  <cols>
    <col min="2" max="2" width="12.28515625" customWidth="1"/>
    <col min="3" max="3" width="8.7109375" customWidth="1"/>
    <col min="5" max="5" width="12" customWidth="1"/>
    <col min="6" max="6" width="10.42578125" customWidth="1"/>
    <col min="7" max="7" width="14.7109375" customWidth="1"/>
    <col min="11" max="11" width="12.140625" customWidth="1"/>
    <col min="12" max="12" width="9.140625" customWidth="1"/>
    <col min="16" max="16" width="10.42578125" customWidth="1"/>
    <col min="19" max="19" width="7.140625" customWidth="1"/>
    <col min="20" max="20" width="11.7109375" customWidth="1"/>
    <col min="21" max="21" width="9.5703125" customWidth="1"/>
    <col min="25" max="25" width="11.140625" customWidth="1"/>
  </cols>
  <sheetData>
    <row r="1" spans="1:25" x14ac:dyDescent="0.25">
      <c r="A1" t="s">
        <v>20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>
        <v>8</v>
      </c>
    </row>
    <row r="2" spans="1:25" x14ac:dyDescent="0.25">
      <c r="A2">
        <v>1</v>
      </c>
      <c r="B2">
        <v>3.7500000000000001E-4</v>
      </c>
      <c r="C2">
        <v>3.47</v>
      </c>
      <c r="D2">
        <v>0.23</v>
      </c>
      <c r="E2">
        <v>0.215</v>
      </c>
      <c r="F2">
        <v>0.2</v>
      </c>
      <c r="G2">
        <v>0.185</v>
      </c>
      <c r="H2">
        <v>0.18</v>
      </c>
      <c r="I2">
        <v>0.185</v>
      </c>
      <c r="J2">
        <v>0.23499999999999999</v>
      </c>
    </row>
    <row r="3" spans="1:25" x14ac:dyDescent="0.25">
      <c r="A3">
        <v>2</v>
      </c>
      <c r="B3">
        <v>3.8999999999999999E-4</v>
      </c>
      <c r="C3">
        <v>2.66</v>
      </c>
      <c r="D3">
        <v>0.18</v>
      </c>
      <c r="E3">
        <v>0.14499999999999999</v>
      </c>
      <c r="F3">
        <v>0.13</v>
      </c>
      <c r="G3">
        <v>0.105</v>
      </c>
      <c r="H3">
        <v>0.09</v>
      </c>
      <c r="I3">
        <v>0.09</v>
      </c>
      <c r="J3">
        <v>0.17499999999999999</v>
      </c>
    </row>
    <row r="4" spans="1:25" x14ac:dyDescent="0.25">
      <c r="A4">
        <v>3</v>
      </c>
      <c r="B4">
        <v>3.9500000000000001E-4</v>
      </c>
      <c r="C4">
        <v>2.41</v>
      </c>
      <c r="D4">
        <v>0.14000000000000001</v>
      </c>
      <c r="E4">
        <v>0.105</v>
      </c>
      <c r="F4">
        <v>0.08</v>
      </c>
      <c r="G4">
        <v>4.4999999999999998E-2</v>
      </c>
      <c r="H4">
        <v>3.5000000000000003E-2</v>
      </c>
      <c r="I4">
        <v>2.5000000000000001E-2</v>
      </c>
      <c r="J4">
        <v>0.125</v>
      </c>
    </row>
    <row r="6" spans="1:25" x14ac:dyDescent="0.25">
      <c r="B6">
        <v>1</v>
      </c>
      <c r="C6">
        <v>7</v>
      </c>
      <c r="D6">
        <v>2</v>
      </c>
      <c r="E6">
        <v>7</v>
      </c>
      <c r="F6">
        <v>3</v>
      </c>
      <c r="G6">
        <v>7</v>
      </c>
    </row>
    <row r="7" spans="1:25" x14ac:dyDescent="0.25">
      <c r="A7">
        <v>1</v>
      </c>
      <c r="B7">
        <v>0.23</v>
      </c>
      <c r="C7">
        <v>0.26500000000000001</v>
      </c>
      <c r="D7">
        <v>0.18</v>
      </c>
      <c r="E7">
        <v>0.23</v>
      </c>
      <c r="F7">
        <v>0.14000000000000001</v>
      </c>
      <c r="G7">
        <v>0.18</v>
      </c>
    </row>
    <row r="8" spans="1:25" x14ac:dyDescent="0.25">
      <c r="A8">
        <v>2</v>
      </c>
      <c r="B8">
        <v>0.215</v>
      </c>
      <c r="C8">
        <v>0.27</v>
      </c>
      <c r="D8">
        <v>0.14499999999999999</v>
      </c>
      <c r="E8">
        <v>0.23</v>
      </c>
      <c r="F8">
        <v>0.105</v>
      </c>
      <c r="G8">
        <v>0.19</v>
      </c>
    </row>
    <row r="9" spans="1:25" x14ac:dyDescent="0.25">
      <c r="A9">
        <v>3</v>
      </c>
      <c r="B9">
        <v>0.2</v>
      </c>
      <c r="C9">
        <v>0.27</v>
      </c>
      <c r="D9">
        <v>0.13</v>
      </c>
      <c r="E9">
        <v>0.23</v>
      </c>
      <c r="F9">
        <v>0.08</v>
      </c>
      <c r="G9">
        <v>0.2</v>
      </c>
    </row>
    <row r="10" spans="1:25" x14ac:dyDescent="0.25">
      <c r="A10">
        <v>4</v>
      </c>
      <c r="B10">
        <v>0.185</v>
      </c>
      <c r="C10">
        <v>0.27500000000000002</v>
      </c>
      <c r="D10">
        <v>0.105</v>
      </c>
      <c r="E10">
        <v>0.23499999999999999</v>
      </c>
      <c r="F10">
        <v>4.4999999999999998E-2</v>
      </c>
      <c r="G10">
        <v>0.20499999999999999</v>
      </c>
    </row>
    <row r="11" spans="1:25" x14ac:dyDescent="0.25">
      <c r="A11">
        <v>5</v>
      </c>
      <c r="B11">
        <v>0.18</v>
      </c>
      <c r="C11">
        <v>0.28000000000000003</v>
      </c>
      <c r="D11">
        <v>0.09</v>
      </c>
      <c r="E11">
        <v>0.24</v>
      </c>
      <c r="F11">
        <v>3.5000000000000003E-2</v>
      </c>
      <c r="G11">
        <v>0.215</v>
      </c>
    </row>
    <row r="12" spans="1:25" x14ac:dyDescent="0.25">
      <c r="A12">
        <v>6</v>
      </c>
      <c r="B12">
        <v>0.185</v>
      </c>
      <c r="C12">
        <v>0.28000000000000003</v>
      </c>
      <c r="D12">
        <v>0.09</v>
      </c>
      <c r="E12">
        <v>0.245</v>
      </c>
      <c r="F12">
        <v>2.5000000000000001E-2</v>
      </c>
      <c r="G12">
        <v>0.22</v>
      </c>
    </row>
    <row r="13" spans="1:25" x14ac:dyDescent="0.25">
      <c r="A13">
        <v>8</v>
      </c>
      <c r="B13">
        <v>0.23499999999999999</v>
      </c>
      <c r="D13">
        <v>0.17499999999999999</v>
      </c>
      <c r="F13">
        <v>0.125</v>
      </c>
    </row>
    <row r="15" spans="1:25" ht="17.25" x14ac:dyDescent="0.4">
      <c r="A15" t="s">
        <v>9</v>
      </c>
      <c r="B15" t="s">
        <v>10</v>
      </c>
      <c r="C15" t="s">
        <v>11</v>
      </c>
      <c r="D15" s="1" t="s">
        <v>12</v>
      </c>
      <c r="E15" s="3" t="s">
        <v>14</v>
      </c>
      <c r="F15" s="2" t="s">
        <v>15</v>
      </c>
      <c r="G15" t="s">
        <v>13</v>
      </c>
      <c r="J15" t="s">
        <v>16</v>
      </c>
      <c r="K15" t="s">
        <v>10</v>
      </c>
      <c r="L15" t="s">
        <v>11</v>
      </c>
      <c r="M15" s="1" t="s">
        <v>12</v>
      </c>
      <c r="N15" s="3" t="s">
        <v>14</v>
      </c>
      <c r="O15" s="2" t="s">
        <v>15</v>
      </c>
      <c r="P15" t="s">
        <v>13</v>
      </c>
      <c r="S15" t="s">
        <v>17</v>
      </c>
      <c r="T15" t="s">
        <v>10</v>
      </c>
      <c r="U15" t="s">
        <v>11</v>
      </c>
      <c r="V15" s="1" t="s">
        <v>12</v>
      </c>
      <c r="W15" s="3" t="s">
        <v>14</v>
      </c>
      <c r="X15" s="2" t="s">
        <v>15</v>
      </c>
      <c r="Y15" t="s">
        <v>13</v>
      </c>
    </row>
    <row r="16" spans="1:25" x14ac:dyDescent="0.25">
      <c r="A16">
        <v>1</v>
      </c>
      <c r="B16">
        <v>4.9087399999999998E-4</v>
      </c>
      <c r="C16">
        <f>B2/C2</f>
        <v>1.0806916426512968E-4</v>
      </c>
      <c r="D16">
        <f>0.000108/B16</f>
        <v>0.22001572705011876</v>
      </c>
      <c r="E16">
        <f>(D16)^2/(2*9.81)</f>
        <v>2.4672232492045035E-3</v>
      </c>
      <c r="F16">
        <f>E16+B7</f>
        <v>0.23246722324920452</v>
      </c>
      <c r="G16">
        <f>(2*9.81*(C7-B7))^0.5</f>
        <v>0.82867363901598801</v>
      </c>
      <c r="J16">
        <v>1</v>
      </c>
      <c r="K16">
        <v>4.9087399999999998E-4</v>
      </c>
      <c r="L16">
        <f>B3/C3</f>
        <v>1.4661654135338345E-4</v>
      </c>
      <c r="M16">
        <f>0.000147/K16</f>
        <v>0.29946585070710613</v>
      </c>
      <c r="N16">
        <f>(M16)^2/(2*9.81)</f>
        <v>4.5708356646142088E-3</v>
      </c>
      <c r="O16">
        <f t="shared" ref="O16:O21" si="0">N16+D7</f>
        <v>0.18457083566461421</v>
      </c>
      <c r="P16">
        <f>(2*9.81*(E7-D7))^0.5</f>
        <v>0.99045444115315084</v>
      </c>
      <c r="S16">
        <v>1</v>
      </c>
      <c r="T16">
        <v>4.9087399999999998E-4</v>
      </c>
      <c r="U16">
        <f>B4/C4</f>
        <v>1.6390041493775934E-4</v>
      </c>
      <c r="V16">
        <f>0.000164/T16</f>
        <v>0.33409795589092112</v>
      </c>
      <c r="W16">
        <f>(V16)^2/(2*9.81)</f>
        <v>5.6891663675072302E-3</v>
      </c>
      <c r="X16">
        <f>W16+F7</f>
        <v>0.14568916636750726</v>
      </c>
      <c r="Y16">
        <f>(2*9.81*(G7-F7))^0.5</f>
        <v>0.88588938361400382</v>
      </c>
    </row>
    <row r="17" spans="1:25" x14ac:dyDescent="0.25">
      <c r="A17">
        <v>2</v>
      </c>
      <c r="B17">
        <v>1.67415E-4</v>
      </c>
      <c r="D17">
        <f t="shared" ref="D17:D20" si="1">0.000108/B17</f>
        <v>0.645103485350775</v>
      </c>
      <c r="E17">
        <f t="shared" ref="E17:E21" si="2">(D17)^2/(2*9.81)</f>
        <v>2.1210933068894881E-2</v>
      </c>
      <c r="F17">
        <f t="shared" ref="F17:F21" si="3">E17+B8</f>
        <v>0.23621093306889487</v>
      </c>
      <c r="G17">
        <f t="shared" ref="G17:G21" si="4">(2*9.81*(C8-B8))^0.5</f>
        <v>1.0387973815908473</v>
      </c>
      <c r="J17">
        <v>2</v>
      </c>
      <c r="K17">
        <v>1.67415E-4</v>
      </c>
      <c r="M17">
        <f t="shared" ref="M17:M21" si="5">0.000147/K17</f>
        <v>0.87805752172744378</v>
      </c>
      <c r="N17">
        <f t="shared" ref="N17:N21" si="6">(M17)^2/(2*9.81)</f>
        <v>3.9295872143839977E-2</v>
      </c>
      <c r="O17">
        <f t="shared" si="0"/>
        <v>0.18429587214383997</v>
      </c>
      <c r="P17">
        <f t="shared" ref="P17:P21" si="7">(2*9.81*(E8-D8))^0.5</f>
        <v>1.2913945950018533</v>
      </c>
      <c r="S17">
        <v>2</v>
      </c>
      <c r="T17">
        <v>1.67415E-4</v>
      </c>
      <c r="V17">
        <f t="shared" ref="V17:V21" si="8">0.000164/T17</f>
        <v>0.97960158886599169</v>
      </c>
      <c r="W17">
        <f t="shared" ref="W17:W21" si="9">(V17)^2/(2*9.81)</f>
        <v>4.8910258558041562E-2</v>
      </c>
      <c r="X17">
        <f>W17+F8</f>
        <v>0.15391025855804155</v>
      </c>
      <c r="Y17">
        <f>(2*9.81*(G8-F8))^0.5</f>
        <v>1.2913945950018531</v>
      </c>
    </row>
    <row r="18" spans="1:25" x14ac:dyDescent="0.25">
      <c r="A18">
        <v>3</v>
      </c>
      <c r="B18">
        <v>1.2076E-4</v>
      </c>
      <c r="D18">
        <f t="shared" si="1"/>
        <v>0.8943358728055647</v>
      </c>
      <c r="E18">
        <f t="shared" si="2"/>
        <v>4.0766394158353272E-2</v>
      </c>
      <c r="F18">
        <f t="shared" si="3"/>
        <v>0.24076639415835327</v>
      </c>
      <c r="G18">
        <f t="shared" si="4"/>
        <v>1.1719214990774767</v>
      </c>
      <c r="J18">
        <v>3</v>
      </c>
      <c r="K18">
        <v>1.2076E-4</v>
      </c>
      <c r="M18">
        <f t="shared" si="5"/>
        <v>1.2172904935409075</v>
      </c>
      <c r="N18">
        <f t="shared" si="6"/>
        <v>7.5524778066517126E-2</v>
      </c>
      <c r="O18">
        <f t="shared" si="0"/>
        <v>0.20552477806651714</v>
      </c>
      <c r="P18">
        <f t="shared" si="7"/>
        <v>1.4007141035914503</v>
      </c>
      <c r="S18">
        <v>3</v>
      </c>
      <c r="T18">
        <v>1.2076E-4</v>
      </c>
      <c r="V18">
        <f t="shared" si="8"/>
        <v>1.3580655846306724</v>
      </c>
      <c r="W18">
        <f t="shared" si="9"/>
        <v>9.4003166776669214E-2</v>
      </c>
      <c r="X18">
        <f>W18+F9</f>
        <v>0.17400316677666922</v>
      </c>
      <c r="Y18">
        <f>(2*9.81*(G9-F9))^0.5</f>
        <v>1.5344054223053307</v>
      </c>
    </row>
    <row r="19" spans="1:25" x14ac:dyDescent="0.25">
      <c r="A19">
        <v>4</v>
      </c>
      <c r="B19">
        <v>1.0028E-4</v>
      </c>
      <c r="D19">
        <f t="shared" si="1"/>
        <v>1.0769844435580376</v>
      </c>
      <c r="E19">
        <f t="shared" si="2"/>
        <v>5.9118016904486023E-2</v>
      </c>
      <c r="F19">
        <f t="shared" si="3"/>
        <v>0.24411801690448603</v>
      </c>
      <c r="G19">
        <f t="shared" si="4"/>
        <v>1.3288340754210062</v>
      </c>
      <c r="J19">
        <v>4</v>
      </c>
      <c r="K19">
        <v>1.0028E-4</v>
      </c>
      <c r="M19">
        <f t="shared" si="5"/>
        <v>1.4658954926206622</v>
      </c>
      <c r="N19">
        <f t="shared" si="6"/>
        <v>0.10952342483616584</v>
      </c>
      <c r="O19">
        <f t="shared" si="0"/>
        <v>0.21452342483616582</v>
      </c>
      <c r="P19">
        <f t="shared" si="7"/>
        <v>1.5970597985047399</v>
      </c>
      <c r="S19">
        <v>4</v>
      </c>
      <c r="T19">
        <v>1.0028E-4</v>
      </c>
      <c r="V19">
        <f t="shared" si="8"/>
        <v>1.6354208216992423</v>
      </c>
      <c r="W19">
        <f t="shared" si="9"/>
        <v>0.1363201459759136</v>
      </c>
      <c r="X19">
        <f>W19+F10</f>
        <v>0.18132014597591362</v>
      </c>
      <c r="Y19">
        <f>(2*9.81*(G10-F10))^0.5</f>
        <v>1.7717787672280081</v>
      </c>
    </row>
    <row r="20" spans="1:25" x14ac:dyDescent="0.25">
      <c r="A20">
        <v>5</v>
      </c>
      <c r="B20">
        <v>8.8246999999999997E-5</v>
      </c>
      <c r="D20">
        <f t="shared" si="1"/>
        <v>1.2238376375400863</v>
      </c>
      <c r="E20">
        <f t="shared" si="2"/>
        <v>7.6339376302736989E-2</v>
      </c>
      <c r="F20">
        <f t="shared" si="3"/>
        <v>0.25633937630273695</v>
      </c>
      <c r="G20">
        <f t="shared" si="4"/>
        <v>1.4007141035914505</v>
      </c>
      <c r="J20">
        <v>5</v>
      </c>
      <c r="K20">
        <v>8.8246999999999997E-5</v>
      </c>
      <c r="M20">
        <f t="shared" si="5"/>
        <v>1.6657790066517841</v>
      </c>
      <c r="N20">
        <f t="shared" si="6"/>
        <v>0.14142811921517862</v>
      </c>
      <c r="O20">
        <f t="shared" si="0"/>
        <v>0.23142811921517861</v>
      </c>
      <c r="P20">
        <f t="shared" si="7"/>
        <v>1.7155174146594956</v>
      </c>
      <c r="S20">
        <v>5</v>
      </c>
      <c r="T20">
        <v>8.8246999999999997E-5</v>
      </c>
      <c r="V20">
        <f t="shared" si="8"/>
        <v>1.8584201162645757</v>
      </c>
      <c r="W20">
        <f t="shared" si="9"/>
        <v>0.17603085262675019</v>
      </c>
      <c r="X20">
        <f>W20+F11</f>
        <v>0.2110308526267502</v>
      </c>
      <c r="Y20">
        <f>(2*9.81*(G11-F11))^0.5</f>
        <v>1.879255171603899</v>
      </c>
    </row>
    <row r="21" spans="1:25" x14ac:dyDescent="0.25">
      <c r="A21">
        <v>6</v>
      </c>
      <c r="B21">
        <v>7.8539000000000001E-5</v>
      </c>
      <c r="D21">
        <f>0.000108/B21</f>
        <v>1.3751130011841251</v>
      </c>
      <c r="E21">
        <f t="shared" si="2"/>
        <v>9.6377969726076013E-2</v>
      </c>
      <c r="F21">
        <f t="shared" si="3"/>
        <v>0.28137796972607598</v>
      </c>
      <c r="G21">
        <f t="shared" si="4"/>
        <v>1.3652472303579306</v>
      </c>
      <c r="J21">
        <v>6</v>
      </c>
      <c r="K21">
        <v>7.8539000000000001E-5</v>
      </c>
      <c r="M21">
        <f t="shared" si="5"/>
        <v>1.871681584945059</v>
      </c>
      <c r="N21">
        <f t="shared" si="6"/>
        <v>0.1785520874323368</v>
      </c>
      <c r="O21">
        <f t="shared" si="0"/>
        <v>0.26855208743233683</v>
      </c>
      <c r="P21">
        <f t="shared" si="7"/>
        <v>1.7438749955200343</v>
      </c>
      <c r="S21">
        <v>6</v>
      </c>
      <c r="T21">
        <v>7.8539000000000001E-5</v>
      </c>
      <c r="V21">
        <f t="shared" si="8"/>
        <v>2.0881345573536714</v>
      </c>
      <c r="W21">
        <f t="shared" si="9"/>
        <v>0.22223781496506692</v>
      </c>
      <c r="X21">
        <f>W21+F12</f>
        <v>0.24723781496506692</v>
      </c>
      <c r="Y21">
        <f>(2*9.81*(G12-F12))^0.5</f>
        <v>1.9559907975243647</v>
      </c>
    </row>
    <row r="22" spans="1:25" x14ac:dyDescent="0.25">
      <c r="C22" t="s">
        <v>18</v>
      </c>
      <c r="D22" t="s">
        <v>19</v>
      </c>
      <c r="E22" t="s">
        <v>19</v>
      </c>
      <c r="F22" t="s">
        <v>19</v>
      </c>
      <c r="G22" t="s">
        <v>19</v>
      </c>
      <c r="L22" t="s">
        <v>18</v>
      </c>
      <c r="M22" t="s">
        <v>19</v>
      </c>
      <c r="N22" t="s">
        <v>19</v>
      </c>
      <c r="O22" t="s">
        <v>19</v>
      </c>
      <c r="P22" t="s">
        <v>19</v>
      </c>
      <c r="U22" t="s">
        <v>18</v>
      </c>
      <c r="V22" t="s">
        <v>19</v>
      </c>
      <c r="W22" t="s">
        <v>19</v>
      </c>
      <c r="X22" t="s">
        <v>19</v>
      </c>
      <c r="Y22" t="s">
        <v>19</v>
      </c>
    </row>
    <row r="23" spans="1:25" x14ac:dyDescent="0.25">
      <c r="A23">
        <v>1</v>
      </c>
      <c r="C23">
        <f>(0.0000025/3.47)+((0.000375*0.005)/(3.47^2))</f>
        <v>8.7618035196704571E-7</v>
      </c>
      <c r="D23">
        <f>0.000000876/B16</f>
        <v>1.7845720082954079E-3</v>
      </c>
      <c r="E23">
        <f>(D23*D16)/9.81</f>
        <v>4.0023843820428617E-5</v>
      </c>
      <c r="F23">
        <f>E23+0.0025</f>
        <v>2.5400238438204287E-3</v>
      </c>
      <c r="G23">
        <f>((9.81*2)^0.5)*(0.0025)/(C7-B7)^0.5</f>
        <v>5.9190974215427718E-2</v>
      </c>
      <c r="J23">
        <v>1</v>
      </c>
      <c r="L23">
        <f>(0.0000025/2.66)+((0.00039*0.005)/(2.66^2))</f>
        <v>1.2154446266041043E-6</v>
      </c>
      <c r="M23">
        <f>(0.00000122)/K16</f>
        <v>2.4853628426031935E-3</v>
      </c>
      <c r="N23">
        <f>(M23*M16)/9.81</f>
        <v>7.5869653208562356E-5</v>
      </c>
      <c r="O23">
        <f>N23+0.0025</f>
        <v>2.5758696532085625E-3</v>
      </c>
      <c r="P23">
        <f>((9.81*2)^0.5)*(0.0025)/(E7-D7)^0.5</f>
        <v>4.952272205765753E-2</v>
      </c>
      <c r="S23">
        <v>1</v>
      </c>
      <c r="U23">
        <f>(0.0000025/2.41)+((0.000395*0.005)/(2.41^2))</f>
        <v>1.3773867529829033E-6</v>
      </c>
      <c r="V23">
        <f>0.00000138/T16</f>
        <v>2.8113120678626285E-3</v>
      </c>
      <c r="W23">
        <f>(V23*V16)/9.81</f>
        <v>9.5744507160487526E-5</v>
      </c>
      <c r="X23">
        <f>W23+0.0025</f>
        <v>2.5957445071604877E-3</v>
      </c>
      <c r="Y23">
        <f>((9.81*2)^0.5)*(0.0025)/(G7-F7)^0.5</f>
        <v>5.5368086475875274E-2</v>
      </c>
    </row>
    <row r="24" spans="1:25" x14ac:dyDescent="0.25">
      <c r="A24">
        <v>2</v>
      </c>
      <c r="D24">
        <f t="shared" ref="D24:D28" si="10">0.000000876/B17</f>
        <v>5.2325060478451754E-3</v>
      </c>
      <c r="E24">
        <f t="shared" ref="E24:E28" si="11">(D24*D17)/9.81</f>
        <v>3.4408846978429473E-4</v>
      </c>
      <c r="F24">
        <f t="shared" ref="F24:F28" si="12">E24+0.0025</f>
        <v>2.8440884697842946E-3</v>
      </c>
      <c r="G24">
        <f>((9.81*2)^0.5)*(0.0025)/(C8-B8)^0.5</f>
        <v>4.721806279958396E-2</v>
      </c>
      <c r="J24">
        <v>2</v>
      </c>
      <c r="M24">
        <f t="shared" ref="M24:M28" si="13">(0.00000122)/K17</f>
        <v>7.2872801122957917E-3</v>
      </c>
      <c r="N24">
        <f t="shared" ref="N24:N28" si="14">(M24*M17)/9.81</f>
        <v>6.5225801381611933E-4</v>
      </c>
      <c r="O24">
        <f t="shared" ref="O24:O28" si="15">N24+0.0025</f>
        <v>3.1522580138161195E-3</v>
      </c>
      <c r="P24">
        <f t="shared" ref="P24:P28" si="16">((9.81*2)^0.5)*(0.0025)/(E8-D8)^0.5</f>
        <v>3.7982193970642737E-2</v>
      </c>
      <c r="S24">
        <v>2</v>
      </c>
      <c r="V24">
        <f>0.00000138/T17</f>
        <v>8.2429889794821253E-3</v>
      </c>
      <c r="W24">
        <f>(V24*V17)/9.81</f>
        <v>8.2312386353777258E-4</v>
      </c>
      <c r="X24">
        <f t="shared" ref="X24:X28" si="17">W24+0.0025</f>
        <v>3.3231238635377724E-3</v>
      </c>
      <c r="Y24">
        <f t="shared" ref="Y24:Y28" si="18">((9.81*2)^0.5)*(0.0025)/(G8-F8)^0.5</f>
        <v>3.7982193970642737E-2</v>
      </c>
    </row>
    <row r="25" spans="1:25" x14ac:dyDescent="0.25">
      <c r="A25">
        <v>3</v>
      </c>
      <c r="D25">
        <f>0.000000876/B18</f>
        <v>7.2540576349784695E-3</v>
      </c>
      <c r="E25">
        <f t="shared" si="11"/>
        <v>6.6132150523550857E-4</v>
      </c>
      <c r="F25">
        <f t="shared" si="12"/>
        <v>3.1613215052355087E-3</v>
      </c>
      <c r="G25">
        <f t="shared" ref="G25:G28" si="19">((9.81*2)^0.5)*(0.0025)/(C9-B9)^0.5</f>
        <v>4.1854339252767027E-2</v>
      </c>
      <c r="J25">
        <v>3</v>
      </c>
      <c r="M25">
        <f>(0.00000122)/K18</f>
        <v>1.0102683007618416E-2</v>
      </c>
      <c r="N25">
        <f t="shared" si="14"/>
        <v>1.2536085611040938E-3</v>
      </c>
      <c r="O25">
        <f t="shared" si="15"/>
        <v>3.753608561104094E-3</v>
      </c>
      <c r="P25">
        <f t="shared" si="16"/>
        <v>3.5017852589786257E-2</v>
      </c>
      <c r="S25">
        <v>3</v>
      </c>
      <c r="V25">
        <f>0.00000138/T18</f>
        <v>1.1427625041404437E-2</v>
      </c>
      <c r="W25">
        <f>(V25*V18)/9.81</f>
        <v>1.5820045140463842E-3</v>
      </c>
      <c r="X25">
        <f t="shared" si="17"/>
        <v>4.0820045140463838E-3</v>
      </c>
      <c r="Y25">
        <f t="shared" si="18"/>
        <v>3.1966779631361061E-2</v>
      </c>
    </row>
    <row r="26" spans="1:25" x14ac:dyDescent="0.25">
      <c r="A26">
        <v>4</v>
      </c>
      <c r="D26">
        <f t="shared" si="10"/>
        <v>8.7355404866374144E-3</v>
      </c>
      <c r="E26">
        <f t="shared" si="11"/>
        <v>9.5902560756166186E-4</v>
      </c>
      <c r="F26">
        <f t="shared" si="12"/>
        <v>3.4590256075616617E-3</v>
      </c>
      <c r="G26">
        <f t="shared" si="19"/>
        <v>3.6912057650583502E-2</v>
      </c>
      <c r="J26">
        <v>4</v>
      </c>
      <c r="M26">
        <f t="shared" si="13"/>
        <v>1.2165935380933387E-2</v>
      </c>
      <c r="N26">
        <f t="shared" si="14"/>
        <v>1.8179398408179909E-3</v>
      </c>
      <c r="O26">
        <f t="shared" si="15"/>
        <v>4.3179398408179914E-3</v>
      </c>
      <c r="P26">
        <f t="shared" si="16"/>
        <v>3.071268843278346E-2</v>
      </c>
      <c r="S26">
        <v>4</v>
      </c>
      <c r="V26">
        <f>0.00000138/T19</f>
        <v>1.3761467889908256E-2</v>
      </c>
      <c r="W26">
        <f>(V26*V19)/9.81</f>
        <v>2.2941683103263502E-3</v>
      </c>
      <c r="X26">
        <f t="shared" si="17"/>
        <v>4.7941683103263502E-3</v>
      </c>
      <c r="Y26">
        <f t="shared" si="18"/>
        <v>2.7684043237937633E-2</v>
      </c>
    </row>
    <row r="27" spans="1:25" x14ac:dyDescent="0.25">
      <c r="A27">
        <v>5</v>
      </c>
      <c r="D27">
        <f t="shared" si="10"/>
        <v>9.9266830600473668E-3</v>
      </c>
      <c r="E27">
        <f t="shared" si="11"/>
        <v>1.2383943266888445E-3</v>
      </c>
      <c r="F27">
        <f t="shared" si="12"/>
        <v>3.7383943266888443E-3</v>
      </c>
      <c r="G27">
        <f t="shared" si="19"/>
        <v>3.5017852589786257E-2</v>
      </c>
      <c r="J27">
        <v>5</v>
      </c>
      <c r="M27">
        <f t="shared" si="13"/>
        <v>1.3824832572212087E-2</v>
      </c>
      <c r="N27">
        <f t="shared" si="14"/>
        <v>2.3475143597621487E-3</v>
      </c>
      <c r="O27">
        <f t="shared" si="15"/>
        <v>4.8475143597621487E-3</v>
      </c>
      <c r="P27">
        <f t="shared" si="16"/>
        <v>2.8591956910991596E-2</v>
      </c>
      <c r="S27">
        <v>5</v>
      </c>
      <c r="V27">
        <f>0.00000138/T20</f>
        <v>1.563792536856777E-2</v>
      </c>
      <c r="W27">
        <f>(V27*V20)/9.81</f>
        <v>2.962470446645308E-3</v>
      </c>
      <c r="X27">
        <f t="shared" si="17"/>
        <v>5.4624704466453081E-3</v>
      </c>
      <c r="Y27">
        <f t="shared" si="18"/>
        <v>2.6100766272276379E-2</v>
      </c>
    </row>
    <row r="28" spans="1:25" x14ac:dyDescent="0.25">
      <c r="A28">
        <v>6</v>
      </c>
      <c r="D28">
        <f t="shared" si="10"/>
        <v>1.1153694342937902E-2</v>
      </c>
      <c r="E28">
        <f t="shared" si="11"/>
        <v>1.5634648422230108E-3</v>
      </c>
      <c r="F28">
        <f t="shared" si="12"/>
        <v>4.0634648422230111E-3</v>
      </c>
      <c r="G28">
        <f t="shared" si="19"/>
        <v>3.5927558693629749E-2</v>
      </c>
      <c r="J28">
        <v>6</v>
      </c>
      <c r="M28">
        <f t="shared" si="13"/>
        <v>1.5533683902265116E-2</v>
      </c>
      <c r="N28">
        <f t="shared" si="14"/>
        <v>2.9637217233666789E-3</v>
      </c>
      <c r="O28">
        <f t="shared" si="15"/>
        <v>5.4637217233666786E-3</v>
      </c>
      <c r="P28">
        <f t="shared" si="16"/>
        <v>2.8127016056774753E-2</v>
      </c>
      <c r="S28">
        <v>6</v>
      </c>
      <c r="V28">
        <f>0.00000138/T21</f>
        <v>1.757088834846382E-2</v>
      </c>
      <c r="W28">
        <f>(V28*V21)/9.81</f>
        <v>3.7400998128267354E-3</v>
      </c>
      <c r="X28">
        <f t="shared" si="17"/>
        <v>6.2400998128267354E-3</v>
      </c>
      <c r="Y28">
        <f t="shared" si="18"/>
        <v>2.5076805096466218E-2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sqref="A1:C1048576"/>
    </sheetView>
  </sheetViews>
  <sheetFormatPr defaultRowHeight="15" x14ac:dyDescent="0.25"/>
  <cols>
    <col min="1" max="6" width="18.85546875" bestFit="1" customWidth="1"/>
  </cols>
  <sheetData>
    <row r="1" spans="1:3" x14ac:dyDescent="0.25">
      <c r="A1">
        <v>1</v>
      </c>
      <c r="B1">
        <v>0.20499999999999999</v>
      </c>
      <c r="C1">
        <v>0.20391235950079617</v>
      </c>
    </row>
    <row r="2" spans="1:3" x14ac:dyDescent="0.25">
      <c r="A2">
        <v>2</v>
      </c>
      <c r="B2">
        <v>0.20499999999999999</v>
      </c>
      <c r="C2">
        <v>0.20363489523682099</v>
      </c>
    </row>
    <row r="3" spans="1:3" x14ac:dyDescent="0.25">
      <c r="A3">
        <v>3</v>
      </c>
      <c r="B3">
        <v>0.20499999999999999</v>
      </c>
      <c r="C3">
        <v>0.20464465246509794</v>
      </c>
    </row>
    <row r="4" spans="1:3" x14ac:dyDescent="0.25">
      <c r="A4">
        <v>4</v>
      </c>
      <c r="B4">
        <v>0.20499999999999999</v>
      </c>
      <c r="C4">
        <v>0.20374544244387632</v>
      </c>
    </row>
    <row r="5" spans="1:3" x14ac:dyDescent="0.25">
      <c r="A5">
        <v>5</v>
      </c>
      <c r="B5">
        <v>0.20499999999999999</v>
      </c>
      <c r="C5">
        <v>0.20605393553630175</v>
      </c>
    </row>
    <row r="6" spans="1:3" x14ac:dyDescent="0.25">
      <c r="A6">
        <v>6</v>
      </c>
      <c r="B6">
        <v>0.20499999999999999</v>
      </c>
      <c r="C6">
        <v>0.20282981207591749</v>
      </c>
    </row>
  </sheetData>
  <pageMargins left="0.7" right="0.7" top="0.75" bottom="0.75" header="0.3" footer="0.3"/>
  <pageSetup orientation="portrait" horizontalDpi="4294967292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sqref="A1:C1048576"/>
    </sheetView>
  </sheetViews>
  <sheetFormatPr defaultRowHeight="15" x14ac:dyDescent="0.25"/>
  <sheetData>
    <row r="1" spans="1:3" x14ac:dyDescent="0.25">
      <c r="A1">
        <v>1</v>
      </c>
      <c r="B1">
        <v>0.245</v>
      </c>
      <c r="C1">
        <v>0.24618519161779739</v>
      </c>
    </row>
    <row r="2" spans="1:3" x14ac:dyDescent="0.25">
      <c r="A2">
        <v>2</v>
      </c>
      <c r="B2">
        <v>0.245</v>
      </c>
      <c r="C2">
        <v>0.24317463081854901</v>
      </c>
    </row>
    <row r="3" spans="1:3" x14ac:dyDescent="0.25">
      <c r="A3">
        <v>3</v>
      </c>
      <c r="B3">
        <v>0.245</v>
      </c>
      <c r="C3">
        <v>0.24719908535531618</v>
      </c>
    </row>
    <row r="4" spans="1:3" x14ac:dyDescent="0.25">
      <c r="A4">
        <v>4</v>
      </c>
      <c r="B4">
        <v>0.245</v>
      </c>
      <c r="C4">
        <v>0.24320558404527398</v>
      </c>
    </row>
    <row r="5" spans="1:3" x14ac:dyDescent="0.25">
      <c r="A5">
        <v>5</v>
      </c>
      <c r="B5">
        <v>0.245</v>
      </c>
      <c r="C5">
        <v>0.24637857531450039</v>
      </c>
    </row>
    <row r="6" spans="1:3" x14ac:dyDescent="0.25">
      <c r="A6">
        <v>6</v>
      </c>
      <c r="B6">
        <v>0.245</v>
      </c>
      <c r="C6">
        <v>0.24161421577162115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sqref="A1:C1048576"/>
    </sheetView>
  </sheetViews>
  <sheetFormatPr defaultRowHeight="15" x14ac:dyDescent="0.25"/>
  <sheetData>
    <row r="1" spans="1:3" x14ac:dyDescent="0.25">
      <c r="A1">
        <v>1</v>
      </c>
      <c r="B1">
        <v>0.19</v>
      </c>
      <c r="C1">
        <v>0.18576949762174749</v>
      </c>
    </row>
    <row r="2" spans="1:3" x14ac:dyDescent="0.25">
      <c r="A2">
        <v>2</v>
      </c>
      <c r="B2">
        <v>0.19</v>
      </c>
      <c r="C2">
        <v>0.18161543804632302</v>
      </c>
    </row>
    <row r="3" spans="1:3" x14ac:dyDescent="0.25">
      <c r="A3">
        <v>3</v>
      </c>
      <c r="B3">
        <v>0.19</v>
      </c>
      <c r="C3">
        <v>0.177714554048641</v>
      </c>
    </row>
    <row r="4" spans="1:3" x14ac:dyDescent="0.25">
      <c r="A4">
        <v>4</v>
      </c>
      <c r="B4">
        <v>0.19</v>
      </c>
      <c r="C4">
        <v>0.17343820717282007</v>
      </c>
    </row>
    <row r="5" spans="1:3" x14ac:dyDescent="0.25">
      <c r="A5">
        <v>5</v>
      </c>
      <c r="B5">
        <v>0.19</v>
      </c>
      <c r="C5">
        <v>0.17380934458589606</v>
      </c>
    </row>
    <row r="6" spans="1:3" x14ac:dyDescent="0.25">
      <c r="A6">
        <v>6</v>
      </c>
      <c r="B6">
        <v>0.19</v>
      </c>
      <c r="C6">
        <v>0.17005914382372198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sqref="A1:C1048576"/>
    </sheetView>
  </sheetViews>
  <sheetFormatPr defaultRowHeight="15" x14ac:dyDescent="0.25"/>
  <sheetData>
    <row r="1" spans="1:3" x14ac:dyDescent="0.25">
      <c r="A1">
        <v>1</v>
      </c>
      <c r="B1">
        <v>0.26500000000000001</v>
      </c>
      <c r="C1">
        <v>0.23246722324920452</v>
      </c>
    </row>
    <row r="2" spans="1:3" x14ac:dyDescent="0.25">
      <c r="A2">
        <v>2</v>
      </c>
      <c r="B2">
        <v>0.27</v>
      </c>
      <c r="C2">
        <v>0.23621093306889487</v>
      </c>
    </row>
    <row r="3" spans="1:3" x14ac:dyDescent="0.25">
      <c r="A3">
        <v>3</v>
      </c>
      <c r="B3">
        <v>0.27</v>
      </c>
      <c r="C3">
        <v>0.24076639415835327</v>
      </c>
    </row>
    <row r="4" spans="1:3" x14ac:dyDescent="0.25">
      <c r="A4">
        <v>4</v>
      </c>
      <c r="B4">
        <v>0.27500000000000002</v>
      </c>
      <c r="C4">
        <v>0.24411801690448603</v>
      </c>
    </row>
    <row r="5" spans="1:3" x14ac:dyDescent="0.25">
      <c r="A5">
        <v>5</v>
      </c>
      <c r="B5">
        <v>0.28000000000000003</v>
      </c>
      <c r="C5">
        <v>0.25633937630273695</v>
      </c>
    </row>
    <row r="6" spans="1:3" x14ac:dyDescent="0.25">
      <c r="A6">
        <v>6</v>
      </c>
      <c r="B6">
        <v>0.28000000000000003</v>
      </c>
      <c r="C6">
        <v>0.28137796972607598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sqref="A1:C1048576"/>
    </sheetView>
  </sheetViews>
  <sheetFormatPr defaultRowHeight="15" x14ac:dyDescent="0.25"/>
  <sheetData>
    <row r="1" spans="1:3" x14ac:dyDescent="0.25">
      <c r="A1">
        <v>1</v>
      </c>
      <c r="B1">
        <v>0.23</v>
      </c>
      <c r="C1">
        <v>0.18457083566461421</v>
      </c>
    </row>
    <row r="2" spans="1:3" x14ac:dyDescent="0.25">
      <c r="A2">
        <v>2</v>
      </c>
      <c r="B2">
        <v>0.23</v>
      </c>
      <c r="C2">
        <v>0.18429587214383997</v>
      </c>
    </row>
    <row r="3" spans="1:3" x14ac:dyDescent="0.25">
      <c r="A3">
        <v>3</v>
      </c>
      <c r="B3">
        <v>0.23</v>
      </c>
      <c r="C3">
        <v>0.20552477806651714</v>
      </c>
    </row>
    <row r="4" spans="1:3" x14ac:dyDescent="0.25">
      <c r="A4">
        <v>4</v>
      </c>
      <c r="B4">
        <v>0.23499999999999999</v>
      </c>
      <c r="C4">
        <v>0.21452342483616582</v>
      </c>
    </row>
    <row r="5" spans="1:3" x14ac:dyDescent="0.25">
      <c r="A5">
        <v>5</v>
      </c>
      <c r="B5">
        <v>0.24</v>
      </c>
      <c r="C5">
        <v>0.23142811921517861</v>
      </c>
    </row>
    <row r="6" spans="1:3" x14ac:dyDescent="0.25">
      <c r="A6">
        <v>6</v>
      </c>
      <c r="B6">
        <v>0.245</v>
      </c>
      <c r="C6">
        <v>0.26855208743233683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G21" sqref="G21"/>
    </sheetView>
  </sheetViews>
  <sheetFormatPr defaultRowHeight="15" x14ac:dyDescent="0.25"/>
  <sheetData>
    <row r="1" spans="1:3" x14ac:dyDescent="0.25">
      <c r="A1">
        <v>1</v>
      </c>
      <c r="B1">
        <v>0.18</v>
      </c>
      <c r="C1">
        <v>0.14568916636750726</v>
      </c>
    </row>
    <row r="2" spans="1:3" x14ac:dyDescent="0.25">
      <c r="A2">
        <v>2</v>
      </c>
      <c r="B2">
        <v>0.19</v>
      </c>
      <c r="C2">
        <v>0.15391025855804155</v>
      </c>
    </row>
    <row r="3" spans="1:3" x14ac:dyDescent="0.25">
      <c r="A3">
        <v>3</v>
      </c>
      <c r="B3">
        <v>0.2</v>
      </c>
      <c r="C3">
        <v>0.17400316677666922</v>
      </c>
    </row>
    <row r="4" spans="1:3" x14ac:dyDescent="0.25">
      <c r="A4">
        <v>4</v>
      </c>
      <c r="B4">
        <v>0.20499999999999999</v>
      </c>
      <c r="C4">
        <v>0.18132014597591362</v>
      </c>
    </row>
    <row r="5" spans="1:3" x14ac:dyDescent="0.25">
      <c r="A5">
        <v>5</v>
      </c>
      <c r="B5">
        <v>0.215</v>
      </c>
      <c r="C5">
        <v>0.2110308526267502</v>
      </c>
    </row>
    <row r="6" spans="1:3" x14ac:dyDescent="0.25">
      <c r="A6">
        <v>6</v>
      </c>
      <c r="B6">
        <v>0.22</v>
      </c>
      <c r="C6">
        <v>0.24723781496506692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2012-10-28T15:52:30Z</dcterms:modified>
</cp:coreProperties>
</file>